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505" yWindow="65521" windowWidth="14310" windowHeight="13050" activeTab="0"/>
  </bookViews>
  <sheets>
    <sheet name="rozpočet" sheetId="1" r:id="rId1"/>
  </sheets>
  <definedNames>
    <definedName name="__xlnm._FilterDatabase_1">#REF!</definedName>
    <definedName name="eC_Rekapitulace">#REF!</definedName>
    <definedName name="euroCALC" localSheetId="0">'rozpočet'!#REF!</definedName>
    <definedName name="euroCALC">#REF!</definedName>
    <definedName name="_xlnm.Print_Area" localSheetId="0">'rozpočet'!$A$1:$G$394</definedName>
    <definedName name="sss" localSheetId="0">#REF!</definedName>
    <definedName name="sss">#REF!</definedName>
  </definedNames>
  <calcPr calcId="145621"/>
</workbook>
</file>

<file path=xl/sharedStrings.xml><?xml version="1.0" encoding="utf-8"?>
<sst xmlns="http://schemas.openxmlformats.org/spreadsheetml/2006/main" count="730" uniqueCount="321">
  <si>
    <t>celkem</t>
  </si>
  <si>
    <t>m2</t>
  </si>
  <si>
    <t>kus</t>
  </si>
  <si>
    <t>m3</t>
  </si>
  <si>
    <t>t</t>
  </si>
  <si>
    <t>m</t>
  </si>
  <si>
    <t>jednotková cena</t>
  </si>
  <si>
    <t>Komunikace</t>
  </si>
  <si>
    <t>573211111</t>
  </si>
  <si>
    <t>Dilat spáry vklád asf zálivka</t>
  </si>
  <si>
    <t>113202111</t>
  </si>
  <si>
    <t>979024441</t>
  </si>
  <si>
    <t>Očištění vybour. obrubníků všech loží a výplní</t>
  </si>
  <si>
    <t>113106121</t>
  </si>
  <si>
    <t>Rozebrání dlažeb z betonových dlaždic na sucho</t>
  </si>
  <si>
    <t>59245292</t>
  </si>
  <si>
    <t>Dlažba zámková přírodní  tl. 8cm , vjezdy</t>
  </si>
  <si>
    <t>59245273</t>
  </si>
  <si>
    <t>Dlažba zámková, pro slabozraké</t>
  </si>
  <si>
    <t>592452921R</t>
  </si>
  <si>
    <t>Dlažba zámková přírodní  tl. 6cm , chodník</t>
  </si>
  <si>
    <t>Poplatek za skládku stavební suti</t>
  </si>
  <si>
    <t>Poplatek za skládku suti - beton</t>
  </si>
  <si>
    <t>Poplatek za skládku suti - obalované kam. - asfalt</t>
  </si>
  <si>
    <t>Trubní vedení - kanalizace</t>
  </si>
  <si>
    <t>981132311</t>
  </si>
  <si>
    <t>Vyjádření správců a vytýčení sítí</t>
  </si>
  <si>
    <t>981132312</t>
  </si>
  <si>
    <t>Geodetické zaměření díla, 3 kopie + elektronicky</t>
  </si>
  <si>
    <t>981132412</t>
  </si>
  <si>
    <t>981132454</t>
  </si>
  <si>
    <t>981132413</t>
  </si>
  <si>
    <t>Dopravné a přesun hmot</t>
  </si>
  <si>
    <t>%</t>
  </si>
  <si>
    <t>Rektifikace uličních vpustí</t>
  </si>
  <si>
    <t>ks</t>
  </si>
  <si>
    <t>"pravý chodník"</t>
  </si>
  <si>
    <t xml:space="preserve">"levý chodník"  </t>
  </si>
  <si>
    <t xml:space="preserve">"pravý chodník" </t>
  </si>
  <si>
    <t xml:space="preserve">Mezisoučet pravý chodník </t>
  </si>
  <si>
    <t xml:space="preserve">"záhonový obrubník levý chodník, brán průměr šíře 1,9m chodník a 1,9m šíře zelený pás" </t>
  </si>
  <si>
    <t>Celkem</t>
  </si>
  <si>
    <t>Mezisoučet celkem</t>
  </si>
  <si>
    <t>Mezisoučet levý chodník</t>
  </si>
  <si>
    <t>Celkem pravý a levý chodník</t>
  </si>
  <si>
    <t>"odhad 2xdélka komunikace</t>
  </si>
  <si>
    <t>ukončení v Jugoslávské 7,8</t>
  </si>
  <si>
    <t>ukončení ve Slezské 5,6</t>
  </si>
  <si>
    <t>ukončení v Moravské 5,7</t>
  </si>
  <si>
    <t xml:space="preserve">"plochy pravý a levý chodník" </t>
  </si>
  <si>
    <t>Geometrický plán, 4 kopie+1xelektronicky</t>
  </si>
  <si>
    <t>soubor</t>
  </si>
  <si>
    <t>Zúčtovatelná rezerva - počítáno 5 % z celkové ceny díla bez VRN</t>
  </si>
  <si>
    <t>VRN</t>
  </si>
  <si>
    <t>Vedlejší rozpočtové náklady</t>
  </si>
  <si>
    <t>Vedlejší rozpočtove náklady - celkem</t>
  </si>
  <si>
    <t>Trubní vedení - kanalizace - celkem</t>
  </si>
  <si>
    <t>895941311</t>
  </si>
  <si>
    <t>Zřízení vpusti kanalizační uliční z betonových dílců typ UVB-50</t>
  </si>
  <si>
    <t>592238220</t>
  </si>
  <si>
    <t>vpusť betonová uliční TBV-Q 500/626/150 VD /dno/ 62,6 x 49,5 x 5 cm</t>
  </si>
  <si>
    <t>592238250</t>
  </si>
  <si>
    <t>vpusť betonová pro uliční vpusť TBV-Q 500/290 /skruž/ 29x50x5 cm</t>
  </si>
  <si>
    <t>592238580</t>
  </si>
  <si>
    <t>skruž betonová pro uliční vpusť TBV-Q 500/590/skruž/ 59x50x5cm</t>
  </si>
  <si>
    <t>592238640</t>
  </si>
  <si>
    <t>prstenec betonový pro uliční vpusť vyrovnávací TBV-Q 390/60</t>
  </si>
  <si>
    <t>592238760</t>
  </si>
  <si>
    <t xml:space="preserve">rám zabetonovaný DIN 19583-9 </t>
  </si>
  <si>
    <t>592238780</t>
  </si>
  <si>
    <t>mříž M1 D400 DIN 19583-13, 500/500 mm</t>
  </si>
  <si>
    <t>592238741</t>
  </si>
  <si>
    <t>kalový koš A4 DIN 4052</t>
  </si>
  <si>
    <t>Ostatní práce a dodávky</t>
  </si>
  <si>
    <t>Ostatní práce a dodávky - celkem</t>
  </si>
  <si>
    <t>Přesun hmot pro komunikace</t>
  </si>
  <si>
    <t>Přesun hmot pro komunikace - celkem</t>
  </si>
  <si>
    <t>Komunikace - celkem</t>
  </si>
  <si>
    <t>Zemní práce - celkem</t>
  </si>
  <si>
    <t>jedn.</t>
  </si>
  <si>
    <t>Popis položky</t>
  </si>
  <si>
    <t>množství</t>
  </si>
  <si>
    <t xml:space="preserve">Mezisopučet pravý chodník </t>
  </si>
  <si>
    <t>J. suť [t]</t>
  </si>
  <si>
    <t>Suť Celkem [t]</t>
  </si>
  <si>
    <t>Dodávka betonový obrubník záhonový 500x200x50</t>
  </si>
  <si>
    <t>998223011</t>
  </si>
  <si>
    <t>Přesun hmot pro pozemní komunikace s krytem dlážděným</t>
  </si>
  <si>
    <t>592174100</t>
  </si>
  <si>
    <t>916231213</t>
  </si>
  <si>
    <t>Osazení chodníkového obrubníku betonového stojatého s boční opěrou do lože z betonu prostého</t>
  </si>
  <si>
    <t>981132313</t>
  </si>
  <si>
    <t>PČ</t>
  </si>
  <si>
    <t>Kód</t>
  </si>
  <si>
    <t>HSV</t>
  </si>
  <si>
    <t>Práce a dodávky HSV</t>
  </si>
  <si>
    <t>565135111</t>
  </si>
  <si>
    <t>Asfaltový beton vrstva podkladní ACP 16 (obalované kamenivo OKS) tl 50 mm š do 3 m</t>
  </si>
  <si>
    <t>567114112</t>
  </si>
  <si>
    <t>Podklad z podkladového betonu PB tř.PB II (C16/20) tl.100mm</t>
  </si>
  <si>
    <t>573111115</t>
  </si>
  <si>
    <t>Postřik živičný infiltrační s posypem z asfaltu množství 2,5 kg/m2</t>
  </si>
  <si>
    <t>Postřik živičný spojovací z asfaltu v množství do 0,70 kg/m2</t>
  </si>
  <si>
    <t>577144211</t>
  </si>
  <si>
    <t>Asfaltový beton vrstva obrusná ACO 11 (ABS) tř. II tl 50 mm š do 3 m z nemodifikovaného asfaltu</t>
  </si>
  <si>
    <t>919735112</t>
  </si>
  <si>
    <t>938908411</t>
  </si>
  <si>
    <t>Čištění vozovek splachováním vodou</t>
  </si>
  <si>
    <t>938909331</t>
  </si>
  <si>
    <t>Čištění vozovek metením ručně podkladu nebo krytu betonového nebo živičného</t>
  </si>
  <si>
    <t>997221612</t>
  </si>
  <si>
    <t>Nakládání vybouraných hmot na dopravní prostředky pro vodorovnou dopravu</t>
  </si>
  <si>
    <t>997221611</t>
  </si>
  <si>
    <t>Nakládání suti na dopravní prostředky pro vodorovnou dopravu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</si>
  <si>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</si>
  <si>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</si>
  <si>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</si>
  <si>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</si>
  <si>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997221571</t>
  </si>
  <si>
    <t>Vodorovná doprava vybouraných hmot do 1 km</t>
  </si>
  <si>
    <t>997221579</t>
  </si>
  <si>
    <t>Příplatek ZKD 1 km u vodorovné dopravy vybouraných hmot</t>
  </si>
  <si>
    <t>997221855</t>
  </si>
  <si>
    <t>Poplatek za uložení odpadu z kameniva na skládce (skládkovné)</t>
  </si>
  <si>
    <t>113107162</t>
  </si>
  <si>
    <t>Odstranění podkladu pl. do 200 m2,kam.drcené do 200mm</t>
  </si>
  <si>
    <t>Odstranění asfaltové vrstvy pl.nad 200m2 tl.10cm</t>
  </si>
  <si>
    <t>113107242</t>
  </si>
  <si>
    <t xml:space="preserve">Vytrhání obrub obrubníků stojatých s vybouráním lože </t>
  </si>
  <si>
    <t>113204111</t>
  </si>
  <si>
    <t xml:space="preserve">Vytrhání obrub obrubníků záhonových s vybouráním lože </t>
  </si>
  <si>
    <t>Řezání stávajícího živičného krytu tl. do 100mm</t>
  </si>
  <si>
    <t>Odstranění dopravních značek se sloupkem s betonovou patkou</t>
  </si>
  <si>
    <t>966006132</t>
  </si>
  <si>
    <t>979054441</t>
  </si>
  <si>
    <t>Očištění vybouraných dlaždic, desek s vyplněním spar kamenivem těženým</t>
  </si>
  <si>
    <t>997221815</t>
  </si>
  <si>
    <t>997221845</t>
  </si>
  <si>
    <t>997221899</t>
  </si>
  <si>
    <t>89923</t>
  </si>
  <si>
    <t>silniční obrubníky</t>
  </si>
  <si>
    <t>asfalt</t>
  </si>
  <si>
    <t>beton</t>
  </si>
  <si>
    <t>kamenivo</t>
  </si>
  <si>
    <t>Lože pod obrubníky z betonu prostého tř.C12/15</t>
  </si>
  <si>
    <t xml:space="preserve">Osazení záhonového obrubníku betonového stojatého do lože s betonu prostého </t>
  </si>
  <si>
    <t>J. hmot[t]</t>
  </si>
  <si>
    <t>Hmot Celkem [t]</t>
  </si>
  <si>
    <t>"stejné, jako živice podklad"</t>
  </si>
  <si>
    <t>"křižovatka PVV a Slezské - trojúhelníky k chodníkům" 2,2x2,0/2,0+2,2x2,6/2,0</t>
  </si>
  <si>
    <t>"křižovatka PVV a Moravské - trojúhelníky k chodníkům" 2,1x1,7/2,0+2,1x2,4/2,0</t>
  </si>
  <si>
    <t xml:space="preserve">"část křižovatka Pod Velkým vrchem x Moravská" š.5,7 x 4,2 k PVV </t>
  </si>
  <si>
    <t>"odpočet ploch štěrkových po V+K - vodovodní řady a přípojky - v položce odstranění podkladu štěrk tl.300mm"</t>
  </si>
  <si>
    <t>"odpočet ploch štěrkových po V+K - kanalizační řady a přípojky - v položce odstranění podkladu štěrk tl.300mm"</t>
  </si>
  <si>
    <t>"část křižovatky PVV x Jugoslávská 7,8x4,0"</t>
  </si>
  <si>
    <t>"část křižovatky PVV x Slezská" 5,6x4,0</t>
  </si>
  <si>
    <t>122302202</t>
  </si>
  <si>
    <t>Odkopávky a prokopávky pro silnice v horninách tř.4 do 1000m3</t>
  </si>
  <si>
    <t>122302209</t>
  </si>
  <si>
    <t>Příplatek za lepivost v hornině tř.4</t>
  </si>
  <si>
    <t>Rozprostření ornice v rovině do 1:5 do pl.500m2 v tl.vrstvy do 150mm</t>
  </si>
  <si>
    <t>167101102</t>
  </si>
  <si>
    <t xml:space="preserve">Nakládání výkopku množství do 100m3, z hornin tř.1-4 </t>
  </si>
  <si>
    <t>162301101</t>
  </si>
  <si>
    <t>Vodorovné přemístění výkopku z horniny tř.1-4 do 500m</t>
  </si>
  <si>
    <t>181951102</t>
  </si>
  <si>
    <t>Plošná úprava terénu přes 500 m2 zemina tř 1 až 4 nerovnosti do +/- 100 mm v rovinně a svahu do 1:5 se zhutněním</t>
  </si>
  <si>
    <t>914511111</t>
  </si>
  <si>
    <t xml:space="preserve">Montáž sloupku dopravní značky délky do 3,5m do bet.základu </t>
  </si>
  <si>
    <t>R001</t>
  </si>
  <si>
    <t>Pokládka a dodávka nopové folie podél RD a oplocení šíře 0,5m</t>
  </si>
  <si>
    <t>"před čp.1056 - vjezd dl.2,0m, š.4,5m"</t>
  </si>
  <si>
    <t>"před čp.1055 - vjezd dl.2,0m, š.4,0m"</t>
  </si>
  <si>
    <t>"před čp.1054 - branka dl.2,0m, š.1,8m"</t>
  </si>
  <si>
    <t>"před čp.1054 - vjezd dl.2,0m, š.4,0m"</t>
  </si>
  <si>
    <t>"před čp.1415 vjezd dl.2,0, š.3,7m"</t>
  </si>
  <si>
    <t>"před čp.831 - vjezd dl.2,0m, š.5,1m"</t>
  </si>
  <si>
    <t>"před čp.1057 - vjezd dl.2,0m, š.3,0m bez dlažby"</t>
  </si>
  <si>
    <t>"před čp.832 - vjezd dl.2,0m, š.4,2m"</t>
  </si>
  <si>
    <t>"před čp.753 - branka dl.2,0m, š.2,0mm"</t>
  </si>
  <si>
    <t xml:space="preserve">"vjezdy a branky" </t>
  </si>
  <si>
    <t>"štěrk cesta za čp.1057" 4,8*3,9</t>
  </si>
  <si>
    <t>"křižovatka PVV a Jugoslávské - trojúhelníky k chodníkům" 2,0x2,0x2,0/2,0</t>
  </si>
  <si>
    <t>"pravý chodník mezi Slezskou a Jugoslávskou" 3,5+68,5+3,5</t>
  </si>
  <si>
    <t>Mezisoučet</t>
  </si>
  <si>
    <t>Celkem levý chodník</t>
  </si>
  <si>
    <t xml:space="preserve">"původní plochy dlažeb k odstranění" </t>
  </si>
  <si>
    <t>Mezisoučet bourané dlažby vjezdů a branek</t>
  </si>
  <si>
    <t>"přepočet na m3, uvažovaná mocnost 25cm</t>
  </si>
  <si>
    <t xml:space="preserve">"uvažované nové plochy vjezdů a branek" </t>
  </si>
  <si>
    <t>"před čp.753 - branka dl.2,0m, š.2,0mm - zůstává š.2,0m"</t>
  </si>
  <si>
    <t>"před čp.832 - vjezd dl.2,0m, š.4,2m změněno na (4,5+2,0*1,0)"</t>
  </si>
  <si>
    <t>"před čp.831 - vjezd dl.2,0m, š.5,1m změněno na (5,5+2,0*1,0)"</t>
  </si>
  <si>
    <t>"před čp.1415 vjezd dl.2,0, š.3,7m změněno na (4,0+2,0*1,0)"</t>
  </si>
  <si>
    <t>"před čp.1054 - vjezd dl.2,0m, š.4,0m změněno na 4,0+2,0*1,0"</t>
  </si>
  <si>
    <t>"před čp.1054 - branka dl.2,0m, š.1,8m změněno na 1,5"</t>
  </si>
  <si>
    <t>"před čp.1055 - vjezd dl.2,0m, š.4,0m změněno na (4,0+2,0*1,0)"</t>
  </si>
  <si>
    <t>"před čp.1056 - vjezd dl.2,0m, š.4,5m změněno na (5,0+2,0*1,0)"</t>
  </si>
  <si>
    <t>"před čp.1057 - vjezd dl.2,0m, š.3,0m bez dlažby změněno na (4,0+2,0*1,0)"</t>
  </si>
  <si>
    <t>Mezisoučet zelený pás k úpravě pro zcela nový chodník</t>
  </si>
  <si>
    <t>Celkem uvažované odkopy zeminy pro vytvoření nových ploch chodníků</t>
  </si>
  <si>
    <t>564811111</t>
  </si>
  <si>
    <t>Podklad ze štěrkodrtě ŠD tl 50 mm</t>
  </si>
  <si>
    <t>Montáž svislé dopravní značky základní velikosti</t>
  </si>
  <si>
    <t>Mezisoučet nové dlažby vjezdů a branek</t>
  </si>
  <si>
    <t>Mezisopučet levý chodník branky</t>
  </si>
  <si>
    <t>odpočet vjezdy dlažba tl.80mm</t>
  </si>
  <si>
    <t>"před čp.832 - vjezd dl.1,9m, š.4,2m změněno na (4,5+2,0*1,0)"</t>
  </si>
  <si>
    <t>"před čp.831 - vjezd dl.1,9m, š.5,1m změněno na (5,5+2,0*1,0)"</t>
  </si>
  <si>
    <t>"před čp.1415 vjezd dl.1,9, š.3,7m změněno na (4,0+2,0*1,0)"</t>
  </si>
  <si>
    <t>"před čp.1054 - vjezd dl.1,9m, š.4,0m změněno na 4,0+2,0*1,0"</t>
  </si>
  <si>
    <t>"před čp.1055 - vjezd dl.1,9m, š.4,0m změněno na (4,0+2,0*1,0)"</t>
  </si>
  <si>
    <t>"před čp.1056 - vjezd dl.1,9m, š.4,5m změněno na (5,0+2,0*1,0)"</t>
  </si>
  <si>
    <t>"před čp.1057 - vjezd dl.1,9m, š.3,0m bez dlažby změněno na (4,0+2,0*1,0)"</t>
  </si>
  <si>
    <t xml:space="preserve">"uvažované nové plochy branek" </t>
  </si>
  <si>
    <t xml:space="preserve">"odpočet uvažovaných vjezdů tl.80mm" </t>
  </si>
  <si>
    <t xml:space="preserve">"čp.744, nyní 3m, nový 5,0+2,0*1,0" </t>
  </si>
  <si>
    <t>"čp.734 branka š.1,2m"</t>
  </si>
  <si>
    <t>"čp.744 branka 2,0m, nový vjezd 2,5+2,0*1,0"</t>
  </si>
  <si>
    <t>"čp.702 vjezd, nyní 3,0m, nový 3,5+2,0*1,0"</t>
  </si>
  <si>
    <t>"čp.701 vjezd nyní 3,5m, nový 4,0+2,0*1,0"</t>
  </si>
  <si>
    <t>"čp.677 branka š.1,6m"</t>
  </si>
  <si>
    <t>"čp.676 vjezd nyní 2,5+čp.86+0garáž š.3,0m, nový 6,0+2,0*1,0</t>
  </si>
  <si>
    <t>"čp.860 vjedz blíže k Moravské š.2,5m, nový 3,0+2,0*1,0</t>
  </si>
  <si>
    <t>Mezisopučet pravý chodník - odpočet uvažovaných vjezdů</t>
  </si>
  <si>
    <t>Mezisopučet levý chodník vjezdy - odpočet</t>
  </si>
  <si>
    <t>Mezisopučet levý chodník stávající a zcela nový</t>
  </si>
  <si>
    <t>"uvažované nové plochy vjezdů levý chodník</t>
  </si>
  <si>
    <t>"štěrk vjezd čp.1104" 1,9*7,0</t>
  </si>
  <si>
    <t xml:space="preserve">Mezisopučet levý chodník </t>
  </si>
  <si>
    <t>"štěrk cesta za čp.1057" 1,9*5,0</t>
  </si>
  <si>
    <t>zámková dlažba tl.60mm - chodníky</t>
  </si>
  <si>
    <t>zánmková dlažba - vjezdy</t>
  </si>
  <si>
    <t xml:space="preserve">"uvažované vjezdy tl.80mm" </t>
  </si>
  <si>
    <t>Mezisopučet pravý chodník - uvažované vjezdy</t>
  </si>
  <si>
    <t xml:space="preserve">"uvažované vjezdy levý chodník" </t>
  </si>
  <si>
    <t>"od křižovatky Slezské po Jugoslávskou, pr.délka úseku 68,2-72,2m, š. 1,9m"</t>
  </si>
  <si>
    <t xml:space="preserve">"od Jugoslávské po Moravskou pr. Délka úseku cca 69,1-72,2m, š. 1,9m" </t>
  </si>
  <si>
    <t>od Slezské po ukončení před čp.1057 bráno šíře 1,9m, dl.cca 133m</t>
  </si>
  <si>
    <t>"pravý chodník mezi Jugoslávskou a Moravskou" 3,0+69,5+3,0</t>
  </si>
  <si>
    <t>"stejná délka, jako vytrhání"</t>
  </si>
  <si>
    <t>Mezisopučet levý chodník vjezdy</t>
  </si>
  <si>
    <t>"před čp.1054 - vjezd dl.1,9m, š.4,0m změněno na (4,0+2,0*1,0)"</t>
  </si>
  <si>
    <t>"štěrk cesta za čp.1057" 3,9*5,0</t>
  </si>
  <si>
    <t>"štěrk vjezd čp.1104" 3,9*7,0</t>
  </si>
  <si>
    <t>Mezisopučet pravý chodník - uvažované branky</t>
  </si>
  <si>
    <t>vjezdy</t>
  </si>
  <si>
    <t>odpočet slepecká dlažba</t>
  </si>
  <si>
    <t>"od křižovatky Slezské po Jugoslávskou, pr.délka úseku 68,2m</t>
  </si>
  <si>
    <t>"od Jugoslávské po Moravskou pr. Délka úseku cca 69,1m</t>
  </si>
  <si>
    <t>od Slezské po ukončení před čp.1057 bráno šíře dl.cca 133m</t>
  </si>
  <si>
    <t>Mezisoučet chodníky</t>
  </si>
  <si>
    <t>Mezisoučet překopy V+K</t>
  </si>
  <si>
    <t>Mezisoučet chodníky dle předpokladu</t>
  </si>
  <si>
    <t>"předpoklad dle předešlého úseku, brána jen 1 / 3"</t>
  </si>
  <si>
    <t>Mezisoučet pravý chodník</t>
  </si>
  <si>
    <t>¨"zámková dlažba vjezdy"</t>
  </si>
  <si>
    <t>"zámková dlažba chodník"</t>
  </si>
  <si>
    <t>celková plocha úprava terénu</t>
  </si>
  <si>
    <t xml:space="preserve">za křižovatkou s Moravskou odhad u čp. 942, uvažovaná délka cca dl.10m, š.1,9" </t>
  </si>
  <si>
    <t>"pravý chodník za Moravskou část" 10,0</t>
  </si>
  <si>
    <t>"levý chodník podél komunikace" 170,0</t>
  </si>
  <si>
    <t>"zelený pás mezi čp.1057 a čp.1104 vjezd, brána šíře 2,2m s obrubníky" 0,25*2,2*32,0</t>
  </si>
  <si>
    <t>"levý chodník celá šíře, vč.zeleně" 3,9*(133,0+32,0)</t>
  </si>
  <si>
    <t>"od čp.1057 po konec čp.1104 vjezd - zcela nové místo trávy" 1,9*32,0</t>
  </si>
  <si>
    <t>"od čp.1057 po konec čp.1104 vjezd - zcela nové místo trávy" 32,0</t>
  </si>
  <si>
    <t>délka levý chodník 133,0+32,0</t>
  </si>
  <si>
    <t xml:space="preserve">"odpočet vjezdy a branky" </t>
  </si>
  <si>
    <t>"štěrk cesta za čp.1057" 3,9*5,0 - ponecháno, uvažováno jako zakončení k prodloužení dozadu</t>
  </si>
  <si>
    <t>Mezisoučet délka levý chodník</t>
  </si>
  <si>
    <t>"přípočet vjezdy a branky boky"  2,0*10,0*1,9</t>
  </si>
  <si>
    <t>Mezisoučet přípočty vjezdů a branek - jejich boky</t>
  </si>
  <si>
    <t>Mezisoučet odpočty vjezdů a branek - jejich šíře</t>
  </si>
  <si>
    <t>Založení trávníku, vč.dodávky travního semena</t>
  </si>
  <si>
    <t>R002</t>
  </si>
  <si>
    <t>"odhad 2,0xdélka 180,0m</t>
  </si>
  <si>
    <t xml:space="preserve">"vjezdy a branky - odpočet šířek vjezdů" </t>
  </si>
  <si>
    <t>¨-4</t>
  </si>
  <si>
    <t>Mezisoučet levý chodník odpočtů šířek vjezdů</t>
  </si>
  <si>
    <t>Mezisoučet délka chodníku</t>
  </si>
  <si>
    <t>záhonové obrubníky - neuvažováno</t>
  </si>
  <si>
    <t>Dodávka betonový obrubník chodníkový, dl.1,0m</t>
  </si>
  <si>
    <t>"štěrk cesta za čp.1057" -0,25*4,8*3,9</t>
  </si>
  <si>
    <t>"štěrk vjezd čp.1104" -0,25*1,9*7,0</t>
  </si>
  <si>
    <t>"přípočet boky současných vjezdů" 8,0*2,0*2,0</t>
  </si>
  <si>
    <t>596211113</t>
  </si>
  <si>
    <t>Kladení dlažby z bet.zámkové dlažby tl. 6 cm do drtě tl. 4 cm</t>
  </si>
  <si>
    <t>596211213</t>
  </si>
  <si>
    <t>Kladení dlažby z bet.zámkové dlažby tl. 8 cm do drtě tl. 4 cm</t>
  </si>
  <si>
    <t>" z plochy původních chodníků uvažovaná pouze 1/3 dle předešlé zkušenosti, tj. z plochy 597,92m2 odstranění kameniva jen 1/3</t>
  </si>
  <si>
    <t>betonové dlaždice - odhad pouze 1/4 plochy, zbylá část použije TS</t>
  </si>
  <si>
    <t>betonové dlaždice - celá výměra, odvoz i na TS</t>
  </si>
  <si>
    <t>obrubníky - celá výměra, odvoz i na TS</t>
  </si>
  <si>
    <t>obrubníky - odhad 1/4, zbylá část použije TS</t>
  </si>
  <si>
    <t>R003</t>
  </si>
  <si>
    <t>Podklad z kameniva hrubého drceného vel. 16-32 mm tl 100 mm</t>
  </si>
  <si>
    <t>564831111</t>
  </si>
  <si>
    <t>564851111</t>
  </si>
  <si>
    <t>113107161</t>
  </si>
  <si>
    <t>Odstranění podkladu pl. do 200 m2,kam.drcené do 100mm</t>
  </si>
  <si>
    <t>113107170</t>
  </si>
  <si>
    <t>Odstranění podkladu pl.do 200 m2, beton, tl. 10 cm</t>
  </si>
  <si>
    <t>Mezisoučet původní štěrkové cesty</t>
  </si>
  <si>
    <t>Celkem se ztratným 2%"</t>
  </si>
  <si>
    <t>Celkem se ztratným 3%</t>
  </si>
  <si>
    <t>Dopravní značení, DIO, zařízení rozhodnutí zvláštního užívání komunikací</t>
  </si>
  <si>
    <t>Zabezpečení výkopu, přechody pro pěší k nemovitostem</t>
  </si>
  <si>
    <t>"plocha komunikace mezi PVV x Slezská  PVVxJugoslávská" 6,0x89,0</t>
  </si>
  <si>
    <t>"plocha komunikace mezi PVV x Slezská  PVV x Moravská" 6,0x91,0</t>
  </si>
  <si>
    <t>572331111</t>
  </si>
  <si>
    <t>Vyspravení krytu vozovky po překopech tl.do 50mm</t>
  </si>
  <si>
    <t>"plochy štěrkových po V+K - vodovodní řady a přípojky" - neuvažováno</t>
  </si>
  <si>
    <t>"plochy štěrkových po V+K - kanalizační řady a přípojky" - neuvažováno</t>
  </si>
  <si>
    <t>uvažovaná plocha 1/3</t>
  </si>
  <si>
    <t>zvažovaná plocha 1/4</t>
  </si>
  <si>
    <t>STAVBA: STAVEBNÍ ÚPRAVY KOMUNIKACE A CHODNÍKŮ V ULICI POD VELKÝM VRCHEM</t>
  </si>
  <si>
    <t>INVESTOR: MĚSTO ČESKÝ BROD, NÁMĚSTÍ HUSOVO 70, 282 01 ČESKÝ BROD</t>
  </si>
  <si>
    <t>STAVEBNÍ ÚPRAVY KOMUNIKACE A CHODNÍKŮ V ULICI POD VELKÝM VRCHEM - SOUPIS PRACÍ A DODÁVEK</t>
  </si>
  <si>
    <t>STAVEBNÍ ÚPRAVY KOMUNIKACE A CHODNÍKŮ V ULICI POD VELKÝM VRCHEM BEZ DPH</t>
  </si>
  <si>
    <t>DPH 21%</t>
  </si>
  <si>
    <t>STAVEBNÍ ÚPRAVY KOMUNIKACE A CHODNÍKŮ V ULICI POD VELKÝM VRCHEM VČ.DPH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</si>
</sst>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&quot;.&quot;_);;;_(@_)"/>
    <numFmt numFmtId="165" formatCode="#,##0.00\ &quot;Kč&quot;"/>
    <numFmt numFmtId="166" formatCode="#,##0.00000"/>
  </numFmts>
  <fonts count="20">
    <font>
      <sz val="8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HelveticaNewE"/>
      <family val="5"/>
    </font>
    <font>
      <sz val="11"/>
      <name val="Arial CE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FF"/>
      <name val="Arial"/>
      <family val="2"/>
    </font>
    <font>
      <b/>
      <sz val="9"/>
      <name val="Trebuchet MS"/>
      <family val="2"/>
    </font>
    <font>
      <sz val="10"/>
      <color rgb="FF000000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rgb="FF505050"/>
      <name val="Arial"/>
      <family val="2"/>
    </font>
    <font>
      <b/>
      <i/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27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</cellStyleXfs>
  <cellXfs count="166">
    <xf numFmtId="0" fontId="0" fillId="0" borderId="0" xfId="0" applyAlignment="1" applyProtection="1">
      <alignment/>
      <protection locked="0"/>
    </xf>
    <xf numFmtId="49" fontId="3" fillId="0" borderId="0" xfId="20" applyNumberFormat="1" applyFont="1" applyFill="1" applyAlignment="1">
      <alignment horizontal="left" vertical="center"/>
      <protection/>
    </xf>
    <xf numFmtId="49" fontId="3" fillId="0" borderId="0" xfId="20" applyNumberFormat="1" applyFont="1" applyFill="1" applyAlignment="1">
      <alignment horizontal="left" vertical="center" wrapText="1"/>
      <protection/>
    </xf>
    <xf numFmtId="0" fontId="2" fillId="0" borderId="0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4" fontId="1" fillId="0" borderId="0" xfId="20" applyNumberFormat="1" applyFont="1" applyFill="1" applyBorder="1">
      <alignment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4" fontId="3" fillId="0" borderId="0" xfId="20" applyNumberFormat="1" applyFont="1" applyFill="1" applyBorder="1" applyAlignment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" xfId="25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/>
      <protection/>
    </xf>
    <xf numFmtId="4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3" xfId="25" applyNumberFormat="1" applyFont="1" applyBorder="1" applyAlignment="1" applyProtection="1">
      <alignment horizontal="right" vertical="center"/>
      <protection locked="0"/>
    </xf>
    <xf numFmtId="0" fontId="1" fillId="0" borderId="4" xfId="25" applyFont="1" applyBorder="1" applyAlignment="1" applyProtection="1">
      <alignment horizontal="left" vertical="center" wrapText="1"/>
      <protection locked="0"/>
    </xf>
    <xf numFmtId="49" fontId="3" fillId="0" borderId="0" xfId="20" applyNumberFormat="1" applyFont="1" applyFill="1" applyBorder="1" applyAlignment="1">
      <alignment horizontal="left" vertical="center"/>
      <protection/>
    </xf>
    <xf numFmtId="165" fontId="8" fillId="2" borderId="2" xfId="0" applyNumberFormat="1" applyFont="1" applyFill="1" applyBorder="1" applyAlignment="1" applyProtection="1">
      <alignment horizontal="right" vertical="center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165" fontId="8" fillId="0" borderId="2" xfId="0" applyNumberFormat="1" applyFont="1" applyBorder="1" applyAlignment="1" applyProtection="1">
      <alignment horizontal="right" vertical="center"/>
      <protection locked="0"/>
    </xf>
    <xf numFmtId="165" fontId="1" fillId="0" borderId="2" xfId="0" applyNumberFormat="1" applyFont="1" applyBorder="1" applyAlignment="1" applyProtection="1">
      <alignment horizontal="right" vertical="center"/>
      <protection locked="0"/>
    </xf>
    <xf numFmtId="165" fontId="1" fillId="0" borderId="2" xfId="25" applyNumberFormat="1" applyFont="1" applyBorder="1" applyAlignment="1" applyProtection="1">
      <alignment horizontal="right" vertical="center"/>
      <protection locked="0"/>
    </xf>
    <xf numFmtId="165" fontId="1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0" xfId="20" applyNumberFormat="1" applyFont="1" applyFill="1" applyAlignment="1">
      <alignment horizontal="right" vertical="center"/>
      <protection/>
    </xf>
    <xf numFmtId="165" fontId="1" fillId="0" borderId="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0" fontId="6" fillId="0" borderId="6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4" fontId="6" fillId="0" borderId="8" xfId="20" applyNumberFormat="1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left" vertical="center" wrapText="1"/>
      <protection/>
    </xf>
    <xf numFmtId="165" fontId="6" fillId="0" borderId="7" xfId="20" applyNumberFormat="1" applyFont="1" applyFill="1" applyBorder="1" applyAlignment="1">
      <alignment horizontal="center" vertical="center" wrapText="1"/>
      <protection/>
    </xf>
    <xf numFmtId="165" fontId="6" fillId="0" borderId="10" xfId="20" applyNumberFormat="1" applyFont="1" applyFill="1" applyBorder="1" applyAlignment="1">
      <alignment horizontal="center" vertical="center" wrapText="1"/>
      <protection/>
    </xf>
    <xf numFmtId="49" fontId="7" fillId="0" borderId="11" xfId="20" applyNumberFormat="1" applyFont="1" applyFill="1" applyBorder="1" applyAlignment="1">
      <alignment horizontal="left" vertical="center"/>
      <protection/>
    </xf>
    <xf numFmtId="165" fontId="7" fillId="0" borderId="11" xfId="20" applyNumberFormat="1" applyFont="1" applyFill="1" applyBorder="1" applyAlignment="1">
      <alignment horizontal="right" vertical="center"/>
      <protection/>
    </xf>
    <xf numFmtId="165" fontId="7" fillId="0" borderId="12" xfId="20" applyNumberFormat="1" applyFont="1" applyFill="1" applyBorder="1" applyAlignment="1">
      <alignment horizontal="right" vertical="center"/>
      <protection/>
    </xf>
    <xf numFmtId="49" fontId="2" fillId="0" borderId="11" xfId="20" applyNumberFormat="1" applyFont="1" applyFill="1" applyBorder="1" applyAlignment="1">
      <alignment vertical="center"/>
      <protection/>
    </xf>
    <xf numFmtId="49" fontId="2" fillId="0" borderId="11" xfId="20" applyNumberFormat="1" applyFont="1" applyFill="1" applyBorder="1" applyAlignment="1">
      <alignment vertical="center" wrapText="1"/>
      <protection/>
    </xf>
    <xf numFmtId="4" fontId="2" fillId="0" borderId="11" xfId="20" applyNumberFormat="1" applyFont="1" applyFill="1" applyBorder="1" applyAlignment="1">
      <alignment horizontal="right" vertical="center"/>
      <protection/>
    </xf>
    <xf numFmtId="49" fontId="2" fillId="0" borderId="11" xfId="20" applyNumberFormat="1" applyFont="1" applyFill="1" applyBorder="1" applyAlignment="1">
      <alignment horizontal="left" vertical="center"/>
      <protection/>
    </xf>
    <xf numFmtId="165" fontId="2" fillId="0" borderId="11" xfId="20" applyNumberFormat="1" applyFont="1" applyFill="1" applyBorder="1" applyAlignment="1">
      <alignment horizontal="right" vertical="center"/>
      <protection/>
    </xf>
    <xf numFmtId="165" fontId="2" fillId="0" borderId="12" xfId="20" applyNumberFormat="1" applyFont="1" applyFill="1" applyBorder="1" applyAlignment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166" fontId="11" fillId="0" borderId="13" xfId="0" applyNumberFormat="1" applyFont="1" applyBorder="1" applyAlignment="1" applyProtection="1">
      <alignment horizontal="center" vertical="center" wrapText="1"/>
      <protection/>
    </xf>
    <xf numFmtId="166" fontId="11" fillId="0" borderId="14" xfId="0" applyNumberFormat="1" applyFont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left"/>
      <protection/>
    </xf>
    <xf numFmtId="4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4" fontId="1" fillId="0" borderId="11" xfId="20" applyNumberFormat="1" applyFont="1" applyFill="1" applyBorder="1" applyAlignment="1">
      <alignment horizontal="right" vertical="center"/>
      <protection/>
    </xf>
    <xf numFmtId="49" fontId="1" fillId="0" borderId="11" xfId="20" applyNumberFormat="1" applyFont="1" applyFill="1" applyBorder="1" applyAlignment="1">
      <alignment horizontal="left" vertical="center"/>
      <protection/>
    </xf>
    <xf numFmtId="165" fontId="1" fillId="0" borderId="11" xfId="20" applyNumberFormat="1" applyFont="1" applyFill="1" applyBorder="1" applyAlignment="1">
      <alignment horizontal="right" vertical="center"/>
      <protection/>
    </xf>
    <xf numFmtId="165" fontId="1" fillId="0" borderId="12" xfId="20" applyNumberFormat="1" applyFont="1" applyFill="1" applyBorder="1" applyAlignment="1">
      <alignment horizontal="right" vertical="center"/>
      <protection/>
    </xf>
    <xf numFmtId="49" fontId="12" fillId="3" borderId="15" xfId="0" applyNumberFormat="1" applyFont="1" applyFill="1" applyBorder="1" applyAlignment="1" applyProtection="1">
      <alignment horizontal="left" vertical="center" readingOrder="1"/>
      <protection/>
    </xf>
    <xf numFmtId="49" fontId="12" fillId="2" borderId="15" xfId="0" applyNumberFormat="1" applyFont="1" applyFill="1" applyBorder="1" applyAlignment="1" applyProtection="1">
      <alignment horizontal="left" vertical="center" wrapText="1" readingOrder="1"/>
      <protection/>
    </xf>
    <xf numFmtId="49" fontId="2" fillId="0" borderId="16" xfId="20" applyNumberFormat="1" applyFont="1" applyFill="1" applyBorder="1" applyAlignment="1">
      <alignment vertical="center"/>
      <protection/>
    </xf>
    <xf numFmtId="49" fontId="2" fillId="0" borderId="16" xfId="20" applyNumberFormat="1" applyFont="1" applyFill="1" applyBorder="1" applyAlignment="1">
      <alignment vertical="center" wrapText="1"/>
      <protection/>
    </xf>
    <xf numFmtId="4" fontId="2" fillId="0" borderId="16" xfId="20" applyNumberFormat="1" applyFont="1" applyFill="1" applyBorder="1" applyAlignment="1">
      <alignment horizontal="right" vertical="center"/>
      <protection/>
    </xf>
    <xf numFmtId="49" fontId="2" fillId="0" borderId="16" xfId="20" applyNumberFormat="1" applyFont="1" applyFill="1" applyBorder="1" applyAlignment="1">
      <alignment horizontal="left" vertical="center"/>
      <protection/>
    </xf>
    <xf numFmtId="165" fontId="2" fillId="0" borderId="16" xfId="20" applyNumberFormat="1" applyFont="1" applyFill="1" applyBorder="1" applyAlignment="1">
      <alignment horizontal="right" vertical="center"/>
      <protection/>
    </xf>
    <xf numFmtId="165" fontId="2" fillId="0" borderId="17" xfId="20" applyNumberFormat="1" applyFont="1" applyFill="1" applyBorder="1" applyAlignment="1">
      <alignment horizontal="right" vertical="center"/>
      <protection/>
    </xf>
    <xf numFmtId="0" fontId="1" fillId="0" borderId="18" xfId="20" applyFont="1" applyFill="1" applyBorder="1" applyAlignment="1">
      <alignment horizontal="left"/>
      <protection/>
    </xf>
    <xf numFmtId="165" fontId="2" fillId="0" borderId="19" xfId="20" applyNumberFormat="1" applyFont="1" applyFill="1" applyBorder="1">
      <alignment/>
      <protection/>
    </xf>
    <xf numFmtId="164" fontId="3" fillId="0" borderId="0" xfId="20" applyNumberFormat="1" applyFont="1" applyFill="1" applyAlignment="1">
      <alignment horizontal="center" vertical="center"/>
      <protection/>
    </xf>
    <xf numFmtId="0" fontId="14" fillId="0" borderId="0" xfId="20" applyFont="1" applyFill="1" applyAlignment="1">
      <alignment vertical="center"/>
      <protection/>
    </xf>
    <xf numFmtId="49" fontId="13" fillId="0" borderId="0" xfId="20" applyNumberFormat="1" applyFont="1" applyFill="1" applyAlignment="1">
      <alignment horizontal="left" vertical="center"/>
      <protection/>
    </xf>
    <xf numFmtId="49" fontId="13" fillId="0" borderId="0" xfId="20" applyNumberFormat="1" applyFont="1" applyFill="1" applyAlignment="1">
      <alignment horizontal="left" vertical="center" wrapText="1"/>
      <protection/>
    </xf>
    <xf numFmtId="4" fontId="13" fillId="0" borderId="0" xfId="20" applyNumberFormat="1" applyFont="1" applyFill="1" applyBorder="1" applyAlignment="1">
      <alignment horizontal="right" vertical="center"/>
      <protection/>
    </xf>
    <xf numFmtId="49" fontId="13" fillId="0" borderId="0" xfId="20" applyNumberFormat="1" applyFont="1" applyFill="1" applyBorder="1" applyAlignment="1">
      <alignment horizontal="left" vertical="center"/>
      <protection/>
    </xf>
    <xf numFmtId="165" fontId="13" fillId="0" borderId="0" xfId="20" applyNumberFormat="1" applyFont="1" applyFill="1" applyAlignment="1">
      <alignment horizontal="right" vertical="center"/>
      <protection/>
    </xf>
    <xf numFmtId="0" fontId="2" fillId="0" borderId="11" xfId="0" applyFont="1" applyBorder="1" applyAlignment="1" applyProtection="1">
      <alignment horizontal="left"/>
      <protection/>
    </xf>
    <xf numFmtId="164" fontId="13" fillId="0" borderId="0" xfId="20" applyNumberFormat="1" applyFont="1" applyFill="1" applyAlignment="1">
      <alignment horizontal="center" vertic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20" applyNumberFormat="1" applyFont="1" applyFill="1" applyBorder="1" applyAlignment="1">
      <alignment horizontal="center" vertical="center"/>
      <protection/>
    </xf>
    <xf numFmtId="49" fontId="1" fillId="0" borderId="20" xfId="20" applyNumberFormat="1" applyFont="1" applyFill="1" applyBorder="1" applyAlignment="1">
      <alignment horizontal="center" vertical="center"/>
      <protection/>
    </xf>
    <xf numFmtId="49" fontId="2" fillId="0" borderId="21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16" fillId="0" borderId="2" xfId="0" applyFont="1" applyBorder="1" applyAlignment="1" applyProtection="1">
      <alignment horizontal="left" vertical="center" wrapText="1"/>
      <protection locked="0"/>
    </xf>
    <xf numFmtId="4" fontId="16" fillId="0" borderId="3" xfId="0" applyNumberFormat="1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left"/>
      <protection/>
    </xf>
    <xf numFmtId="4" fontId="15" fillId="0" borderId="3" xfId="0" applyNumberFormat="1" applyFont="1" applyBorder="1" applyAlignment="1" applyProtection="1">
      <alignment horizontal="right" vertical="center"/>
      <protection/>
    </xf>
    <xf numFmtId="4" fontId="1" fillId="0" borderId="3" xfId="0" applyNumberFormat="1" applyFont="1" applyBorder="1" applyAlignment="1" applyProtection="1">
      <alignment vertical="center"/>
      <protection locked="0"/>
    </xf>
    <xf numFmtId="4" fontId="10" fillId="0" borderId="3" xfId="0" applyNumberFormat="1" applyFont="1" applyBorder="1" applyAlignment="1" applyProtection="1">
      <alignment vertical="center"/>
      <protection locked="0"/>
    </xf>
    <xf numFmtId="165" fontId="17" fillId="2" borderId="2" xfId="0" applyNumberFormat="1" applyFont="1" applyFill="1" applyBorder="1" applyAlignment="1" applyProtection="1">
      <alignment vertical="center"/>
      <protection locked="0"/>
    </xf>
    <xf numFmtId="49" fontId="17" fillId="0" borderId="2" xfId="0" applyNumberFormat="1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" fillId="2" borderId="1" xfId="25" applyFont="1" applyFill="1" applyBorder="1" applyAlignment="1" applyProtection="1">
      <alignment horizontal="center" vertical="center"/>
      <protection locked="0"/>
    </xf>
    <xf numFmtId="4" fontId="1" fillId="2" borderId="3" xfId="25" applyNumberFormat="1" applyFont="1" applyFill="1" applyBorder="1" applyAlignment="1" applyProtection="1">
      <alignment horizontal="right" vertical="center"/>
      <protection locked="0"/>
    </xf>
    <xf numFmtId="0" fontId="1" fillId="2" borderId="4" xfId="25" applyFont="1" applyFill="1" applyBorder="1" applyAlignment="1" applyProtection="1">
      <alignment horizontal="left" vertical="center" wrapText="1"/>
      <protection locked="0"/>
    </xf>
    <xf numFmtId="165" fontId="1" fillId="2" borderId="2" xfId="25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left"/>
      <protection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left" vertical="center" wrapText="1"/>
      <protection locked="0"/>
    </xf>
    <xf numFmtId="165" fontId="18" fillId="2" borderId="2" xfId="0" applyNumberFormat="1" applyFont="1" applyFill="1" applyBorder="1" applyAlignment="1" applyProtection="1">
      <alignment vertical="center"/>
      <protection locked="0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0" xfId="20" applyFont="1" applyFill="1" applyAlignment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165" fontId="18" fillId="2" borderId="11" xfId="0" applyNumberFormat="1" applyFont="1" applyFill="1" applyBorder="1" applyAlignment="1" applyProtection="1">
      <alignment vertical="center"/>
      <protection locked="0"/>
    </xf>
    <xf numFmtId="165" fontId="2" fillId="2" borderId="12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4" fontId="15" fillId="2" borderId="3" xfId="0" applyNumberFormat="1" applyFont="1" applyFill="1" applyBorder="1" applyAlignment="1" applyProtection="1">
      <alignment horizontal="right" vertical="center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2" xfId="0" applyFont="1" applyFill="1" applyBorder="1" applyAlignment="1" applyProtection="1">
      <alignment horizontal="left" vertical="center" wrapText="1"/>
      <protection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4" fontId="16" fillId="2" borderId="3" xfId="0" applyNumberFormat="1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4" fontId="19" fillId="0" borderId="3" xfId="0" applyNumberFormat="1" applyFont="1" applyBorder="1" applyAlignment="1" applyProtection="1">
      <alignment horizontal="right" vertical="center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4" fontId="17" fillId="0" borderId="3" xfId="0" applyNumberFormat="1" applyFont="1" applyBorder="1" applyAlignment="1" applyProtection="1">
      <alignment horizontal="right" vertical="center"/>
      <protection locked="0"/>
    </xf>
    <xf numFmtId="4" fontId="18" fillId="0" borderId="3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2" fillId="0" borderId="22" xfId="20" applyFont="1" applyFill="1" applyBorder="1" applyAlignment="1">
      <alignment horizontal="left"/>
      <protection/>
    </xf>
    <xf numFmtId="0" fontId="2" fillId="0" borderId="18" xfId="20" applyFont="1" applyFill="1" applyBorder="1" applyAlignment="1">
      <alignment horizontal="left"/>
      <protection/>
    </xf>
    <xf numFmtId="4" fontId="1" fillId="0" borderId="18" xfId="20" applyNumberFormat="1" applyFont="1" applyFill="1" applyBorder="1" applyAlignment="1">
      <alignment horizontal="left"/>
      <protection/>
    </xf>
    <xf numFmtId="165" fontId="1" fillId="0" borderId="18" xfId="20" applyNumberFormat="1" applyFont="1" applyFill="1" applyBorder="1" applyAlignment="1">
      <alignment horizontal="lef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165" fontId="8" fillId="0" borderId="11" xfId="0" applyNumberFormat="1" applyFont="1" applyBorder="1" applyAlignment="1" applyProtection="1">
      <alignment horizontal="right" vertical="center"/>
      <protection locked="0"/>
    </xf>
    <xf numFmtId="165" fontId="1" fillId="2" borderId="12" xfId="0" applyNumberFormat="1" applyFont="1" applyFill="1" applyBorder="1" applyAlignment="1" applyProtection="1">
      <alignment horizontal="right" vertical="center"/>
      <protection locked="0"/>
    </xf>
    <xf numFmtId="164" fontId="13" fillId="0" borderId="0" xfId="20" applyNumberFormat="1" applyFont="1" applyFill="1" applyAlignment="1">
      <alignment horizontal="left" vertical="center"/>
      <protection/>
    </xf>
    <xf numFmtId="164" fontId="13" fillId="0" borderId="0" xfId="20" applyNumberFormat="1" applyFont="1" applyFill="1" applyBorder="1" applyAlignment="1">
      <alignment horizontal="left" vertical="center"/>
      <protection/>
    </xf>
    <xf numFmtId="165" fontId="7" fillId="0" borderId="0" xfId="20" applyNumberFormat="1" applyFont="1" applyFill="1" applyBorder="1" applyAlignment="1">
      <alignment horizontal="right" vertical="center"/>
      <protection/>
    </xf>
    <xf numFmtId="165" fontId="2" fillId="0" borderId="0" xfId="20" applyNumberFormat="1" applyFont="1" applyFill="1" applyBorder="1" applyAlignment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right" vertical="center"/>
      <protection locked="0"/>
    </xf>
    <xf numFmtId="165" fontId="2" fillId="2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20" applyNumberFormat="1" applyFont="1" applyFill="1" applyBorder="1" applyAlignment="1">
      <alignment horizontal="right" vertical="center"/>
      <protection/>
    </xf>
    <xf numFmtId="165" fontId="6" fillId="0" borderId="0" xfId="20" applyNumberFormat="1" applyFont="1" applyFill="1" applyBorder="1" applyAlignment="1">
      <alignment horizontal="center" vertical="center" wrapText="1"/>
      <protection/>
    </xf>
    <xf numFmtId="165" fontId="13" fillId="0" borderId="0" xfId="20" applyNumberFormat="1" applyFont="1" applyFill="1" applyBorder="1" applyAlignment="1">
      <alignment horizontal="right" vertical="center"/>
      <protection/>
    </xf>
    <xf numFmtId="164" fontId="13" fillId="0" borderId="0" xfId="20" applyNumberFormat="1" applyFont="1" applyFill="1" applyAlignment="1">
      <alignment horizontal="left" vertical="center"/>
      <protection/>
    </xf>
    <xf numFmtId="164" fontId="13" fillId="0" borderId="23" xfId="20" applyNumberFormat="1" applyFont="1" applyFill="1" applyBorder="1" applyAlignment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 2" xfId="20"/>
    <cellStyle name="Normální 2" xfId="21"/>
    <cellStyle name="kolonky" xfId="22"/>
    <cellStyle name="Normal_7-Práce_a_dodávky" xfId="23"/>
    <cellStyle name="Normální 3" xfId="24"/>
    <cellStyle name="Excel Built-in Normal" xfId="25"/>
    <cellStyle name="Normální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408"/>
  <sheetViews>
    <sheetView tabSelected="1" zoomScale="115" zoomScaleNormal="115" zoomScaleSheetLayoutView="100" workbookViewId="0" topLeftCell="A373">
      <selection activeCell="Q392" sqref="Q392"/>
    </sheetView>
  </sheetViews>
  <sheetFormatPr defaultColWidth="11.66015625" defaultRowHeight="13.5"/>
  <cols>
    <col min="1" max="1" width="5.83203125" style="82" customWidth="1"/>
    <col min="2" max="2" width="12.83203125" style="1" customWidth="1"/>
    <col min="3" max="3" width="88.5" style="2" bestFit="1" customWidth="1"/>
    <col min="4" max="4" width="10.83203125" style="9" customWidth="1"/>
    <col min="5" max="5" width="10.83203125" style="30" customWidth="1"/>
    <col min="6" max="6" width="15.83203125" style="37" customWidth="1"/>
    <col min="7" max="8" width="18.83203125" style="37" customWidth="1"/>
    <col min="9" max="15" width="11.66015625" style="7" hidden="1" customWidth="1"/>
    <col min="16" max="16384" width="11.66015625" style="7" customWidth="1"/>
  </cols>
  <sheetData>
    <row r="1" spans="1:8" s="83" customFormat="1" ht="24.95" customHeight="1">
      <c r="A1" s="164" t="s">
        <v>315</v>
      </c>
      <c r="B1" s="164"/>
      <c r="C1" s="164"/>
      <c r="D1" s="164"/>
      <c r="E1" s="164"/>
      <c r="F1" s="164"/>
      <c r="G1" s="164"/>
      <c r="H1" s="155"/>
    </row>
    <row r="2" spans="1:8" s="83" customFormat="1" ht="24.95" customHeight="1">
      <c r="A2" s="164" t="s">
        <v>316</v>
      </c>
      <c r="B2" s="164"/>
      <c r="C2" s="164"/>
      <c r="D2" s="164"/>
      <c r="E2" s="164"/>
      <c r="F2" s="164"/>
      <c r="G2" s="164"/>
      <c r="H2" s="156"/>
    </row>
    <row r="3" spans="1:8" s="83" customFormat="1" ht="24.95" customHeight="1">
      <c r="A3" s="90"/>
      <c r="B3" s="84"/>
      <c r="C3" s="85"/>
      <c r="D3" s="86"/>
      <c r="E3" s="87"/>
      <c r="F3" s="88"/>
      <c r="G3" s="88"/>
      <c r="H3" s="163"/>
    </row>
    <row r="4" spans="1:8" s="83" customFormat="1" ht="24.95" customHeight="1" thickBot="1">
      <c r="A4" s="165" t="s">
        <v>317</v>
      </c>
      <c r="B4" s="165"/>
      <c r="C4" s="165"/>
      <c r="D4" s="165"/>
      <c r="E4" s="165"/>
      <c r="F4" s="165"/>
      <c r="G4" s="165"/>
      <c r="H4" s="156"/>
    </row>
    <row r="5" spans="1:12" ht="24.95" customHeight="1" thickBot="1">
      <c r="A5" s="40" t="s">
        <v>92</v>
      </c>
      <c r="B5" s="41" t="s">
        <v>93</v>
      </c>
      <c r="C5" s="41" t="s">
        <v>80</v>
      </c>
      <c r="D5" s="42" t="s">
        <v>81</v>
      </c>
      <c r="E5" s="43" t="s">
        <v>79</v>
      </c>
      <c r="F5" s="44" t="s">
        <v>6</v>
      </c>
      <c r="G5" s="45" t="s">
        <v>0</v>
      </c>
      <c r="H5" s="162"/>
      <c r="I5" s="63" t="s">
        <v>83</v>
      </c>
      <c r="J5" s="64" t="s">
        <v>84</v>
      </c>
      <c r="K5" s="63" t="s">
        <v>146</v>
      </c>
      <c r="L5" s="64" t="s">
        <v>147</v>
      </c>
    </row>
    <row r="6" spans="1:8" ht="24.95" customHeight="1">
      <c r="A6" s="91"/>
      <c r="B6" s="89" t="s">
        <v>94</v>
      </c>
      <c r="C6" s="89" t="s">
        <v>95</v>
      </c>
      <c r="D6" s="101"/>
      <c r="E6" s="46"/>
      <c r="F6" s="47"/>
      <c r="G6" s="48"/>
      <c r="H6" s="157"/>
    </row>
    <row r="7" spans="1:8" ht="24.95" customHeight="1">
      <c r="A7" s="92"/>
      <c r="B7" s="49">
        <v>1</v>
      </c>
      <c r="C7" s="50" t="s">
        <v>78</v>
      </c>
      <c r="D7" s="51"/>
      <c r="E7" s="52"/>
      <c r="F7" s="53"/>
      <c r="G7" s="54"/>
      <c r="H7" s="158"/>
    </row>
    <row r="8" spans="1:10" ht="24.95" customHeight="1">
      <c r="A8" s="10">
        <v>1</v>
      </c>
      <c r="B8" s="16" t="s">
        <v>13</v>
      </c>
      <c r="C8" s="12" t="s">
        <v>14</v>
      </c>
      <c r="D8" s="22">
        <f>D27</f>
        <v>597.915</v>
      </c>
      <c r="E8" s="23" t="s">
        <v>1</v>
      </c>
      <c r="F8" s="33"/>
      <c r="G8" s="32">
        <f>D8*F8</f>
        <v>0</v>
      </c>
      <c r="H8" s="159"/>
      <c r="I8" s="7">
        <f>2.3*0.1</f>
        <v>0.22999999999999998</v>
      </c>
      <c r="J8" s="7">
        <f>D8*I8</f>
        <v>137.52044999999998</v>
      </c>
    </row>
    <row r="9" spans="1:8" ht="24.95" customHeight="1">
      <c r="A9" s="10"/>
      <c r="B9" s="16"/>
      <c r="C9" s="96" t="s">
        <v>36</v>
      </c>
      <c r="D9" s="102"/>
      <c r="E9" s="97"/>
      <c r="F9" s="33"/>
      <c r="G9" s="32"/>
      <c r="H9" s="159"/>
    </row>
    <row r="10" spans="1:8" ht="24.95" customHeight="1">
      <c r="A10" s="10"/>
      <c r="B10" s="16"/>
      <c r="C10" s="96" t="s">
        <v>236</v>
      </c>
      <c r="D10" s="102">
        <f>1.9*(68.2+72.2)/2</f>
        <v>133.38</v>
      </c>
      <c r="E10" s="97" t="s">
        <v>1</v>
      </c>
      <c r="F10" s="33"/>
      <c r="G10" s="32"/>
      <c r="H10" s="159"/>
    </row>
    <row r="11" spans="1:8" ht="24.95" customHeight="1">
      <c r="A11" s="10"/>
      <c r="B11" s="16"/>
      <c r="C11" s="96" t="s">
        <v>237</v>
      </c>
      <c r="D11" s="102">
        <f>1.9*(69.1+72.2)/2</f>
        <v>134.235</v>
      </c>
      <c r="E11" s="97" t="s">
        <v>1</v>
      </c>
      <c r="F11" s="33"/>
      <c r="G11" s="32"/>
      <c r="H11" s="159"/>
    </row>
    <row r="12" spans="1:8" ht="24.95" customHeight="1">
      <c r="A12" s="10"/>
      <c r="B12" s="16"/>
      <c r="C12" s="96" t="s">
        <v>259</v>
      </c>
      <c r="D12" s="102">
        <f>1.9*10</f>
        <v>19</v>
      </c>
      <c r="E12" s="97" t="s">
        <v>1</v>
      </c>
      <c r="F12" s="33"/>
      <c r="G12" s="32"/>
      <c r="H12" s="159"/>
    </row>
    <row r="13" spans="1:8" ht="24.95" customHeight="1">
      <c r="A13" s="10"/>
      <c r="B13" s="16"/>
      <c r="C13" s="98" t="s">
        <v>82</v>
      </c>
      <c r="D13" s="99">
        <f>SUM(D10:D12)</f>
        <v>286.615</v>
      </c>
      <c r="E13" s="100" t="s">
        <v>1</v>
      </c>
      <c r="F13" s="33"/>
      <c r="G13" s="32"/>
      <c r="H13" s="159"/>
    </row>
    <row r="14" spans="1:8" ht="24.95" customHeight="1">
      <c r="A14" s="10"/>
      <c r="B14" s="16"/>
      <c r="C14" s="96" t="s">
        <v>37</v>
      </c>
      <c r="D14" s="102"/>
      <c r="E14" s="97"/>
      <c r="F14" s="33"/>
      <c r="G14" s="32"/>
      <c r="H14" s="159"/>
    </row>
    <row r="15" spans="1:8" ht="24.95" customHeight="1">
      <c r="A15" s="10"/>
      <c r="B15" s="16"/>
      <c r="C15" s="96" t="s">
        <v>238</v>
      </c>
      <c r="D15" s="102">
        <f>1.9*133</f>
        <v>252.7</v>
      </c>
      <c r="E15" s="97" t="s">
        <v>1</v>
      </c>
      <c r="F15" s="33"/>
      <c r="G15" s="32"/>
      <c r="H15" s="159"/>
    </row>
    <row r="16" spans="1:8" ht="24.95" customHeight="1">
      <c r="A16" s="10"/>
      <c r="B16" s="14"/>
      <c r="C16" s="96" t="s">
        <v>180</v>
      </c>
      <c r="D16" s="102"/>
      <c r="E16" s="97"/>
      <c r="F16" s="33"/>
      <c r="G16" s="32"/>
      <c r="H16" s="159"/>
    </row>
    <row r="17" spans="1:8" ht="24.95" customHeight="1">
      <c r="A17" s="10"/>
      <c r="B17" s="14"/>
      <c r="C17" s="96" t="s">
        <v>179</v>
      </c>
      <c r="D17" s="102">
        <v>4</v>
      </c>
      <c r="E17" s="97" t="s">
        <v>1</v>
      </c>
      <c r="F17" s="33"/>
      <c r="G17" s="32"/>
      <c r="H17" s="159"/>
    </row>
    <row r="18" spans="1:8" ht="24.95" customHeight="1">
      <c r="A18" s="10"/>
      <c r="B18" s="14"/>
      <c r="C18" s="96" t="s">
        <v>178</v>
      </c>
      <c r="D18" s="102">
        <f>2*4.2</f>
        <v>8.4</v>
      </c>
      <c r="E18" s="97" t="s">
        <v>1</v>
      </c>
      <c r="F18" s="33"/>
      <c r="G18" s="32"/>
      <c r="H18" s="159"/>
    </row>
    <row r="19" spans="1:8" ht="24.95" customHeight="1">
      <c r="A19" s="10"/>
      <c r="B19" s="14"/>
      <c r="C19" s="96" t="s">
        <v>176</v>
      </c>
      <c r="D19" s="102">
        <f>2*5.1</f>
        <v>10.2</v>
      </c>
      <c r="E19" s="97" t="s">
        <v>1</v>
      </c>
      <c r="F19" s="33"/>
      <c r="G19" s="32"/>
      <c r="H19" s="159"/>
    </row>
    <row r="20" spans="1:8" ht="24.95" customHeight="1">
      <c r="A20" s="10"/>
      <c r="B20" s="14"/>
      <c r="C20" s="96" t="s">
        <v>175</v>
      </c>
      <c r="D20" s="102">
        <f>2*3.7</f>
        <v>7.4</v>
      </c>
      <c r="E20" s="97" t="s">
        <v>1</v>
      </c>
      <c r="F20" s="33"/>
      <c r="G20" s="32"/>
      <c r="H20" s="159"/>
    </row>
    <row r="21" spans="1:8" ht="24.95" customHeight="1">
      <c r="A21" s="10"/>
      <c r="B21" s="14"/>
      <c r="C21" s="96" t="s">
        <v>174</v>
      </c>
      <c r="D21" s="102">
        <f>2*4</f>
        <v>8</v>
      </c>
      <c r="E21" s="97" t="s">
        <v>1</v>
      </c>
      <c r="F21" s="33"/>
      <c r="G21" s="32"/>
      <c r="H21" s="159"/>
    </row>
    <row r="22" spans="1:8" ht="24.95" customHeight="1">
      <c r="A22" s="10"/>
      <c r="B22" s="14"/>
      <c r="C22" s="96" t="s">
        <v>173</v>
      </c>
      <c r="D22" s="102">
        <f>2*1.8</f>
        <v>3.6</v>
      </c>
      <c r="E22" s="97" t="s">
        <v>1</v>
      </c>
      <c r="F22" s="33"/>
      <c r="G22" s="32"/>
      <c r="H22" s="159"/>
    </row>
    <row r="23" spans="1:8" ht="24.95" customHeight="1">
      <c r="A23" s="10"/>
      <c r="B23" s="14"/>
      <c r="C23" s="96" t="s">
        <v>172</v>
      </c>
      <c r="D23" s="102">
        <f>2*4</f>
        <v>8</v>
      </c>
      <c r="E23" s="97" t="s">
        <v>1</v>
      </c>
      <c r="F23" s="33"/>
      <c r="G23" s="32"/>
      <c r="H23" s="159"/>
    </row>
    <row r="24" spans="1:8" ht="24.95" customHeight="1">
      <c r="A24" s="10"/>
      <c r="B24" s="14"/>
      <c r="C24" s="96" t="s">
        <v>171</v>
      </c>
      <c r="D24" s="102">
        <f>2*4.5</f>
        <v>9</v>
      </c>
      <c r="E24" s="97" t="s">
        <v>1</v>
      </c>
      <c r="F24" s="33"/>
      <c r="G24" s="32"/>
      <c r="H24" s="159"/>
    </row>
    <row r="25" spans="1:8" ht="24.95" customHeight="1">
      <c r="A25" s="10"/>
      <c r="B25" s="14"/>
      <c r="C25" s="96" t="s">
        <v>177</v>
      </c>
      <c r="D25" s="102">
        <f>2*3*0</f>
        <v>0</v>
      </c>
      <c r="E25" s="97" t="s">
        <v>1</v>
      </c>
      <c r="F25" s="33"/>
      <c r="G25" s="32"/>
      <c r="H25" s="159"/>
    </row>
    <row r="26" spans="1:8" ht="24.95" customHeight="1">
      <c r="A26" s="10"/>
      <c r="B26" s="16"/>
      <c r="C26" s="98" t="s">
        <v>43</v>
      </c>
      <c r="D26" s="99">
        <f>SUM(D15:D25)</f>
        <v>311.29999999999995</v>
      </c>
      <c r="E26" s="100" t="s">
        <v>1</v>
      </c>
      <c r="F26" s="33"/>
      <c r="G26" s="32"/>
      <c r="H26" s="159"/>
    </row>
    <row r="27" spans="1:8" ht="24.95" customHeight="1">
      <c r="A27" s="10"/>
      <c r="B27" s="16"/>
      <c r="C27" s="98" t="s">
        <v>44</v>
      </c>
      <c r="D27" s="99">
        <f>D26+D13</f>
        <v>597.915</v>
      </c>
      <c r="E27" s="100" t="s">
        <v>1</v>
      </c>
      <c r="F27" s="33"/>
      <c r="G27" s="32"/>
      <c r="H27" s="159"/>
    </row>
    <row r="28" spans="1:8" ht="24.95" customHeight="1">
      <c r="A28" s="10"/>
      <c r="B28" s="16"/>
      <c r="C28" s="12"/>
      <c r="D28" s="22"/>
      <c r="E28" s="23"/>
      <c r="F28" s="33"/>
      <c r="G28" s="32"/>
      <c r="H28" s="159"/>
    </row>
    <row r="29" spans="1:10" ht="24.95" customHeight="1">
      <c r="A29" s="10"/>
      <c r="B29" s="16" t="s">
        <v>298</v>
      </c>
      <c r="C29" s="12" t="s">
        <v>299</v>
      </c>
      <c r="D29" s="24">
        <f>D34</f>
        <v>199.30499999999998</v>
      </c>
      <c r="E29" s="23" t="s">
        <v>1</v>
      </c>
      <c r="F29" s="33"/>
      <c r="G29" s="32">
        <f>D29*F29</f>
        <v>0</v>
      </c>
      <c r="H29" s="159"/>
      <c r="I29" s="7">
        <v>0.13</v>
      </c>
      <c r="J29" s="7">
        <f>D29*I29</f>
        <v>25.90965</v>
      </c>
    </row>
    <row r="30" spans="1:8" ht="24.95" customHeight="1">
      <c r="A30" s="10"/>
      <c r="B30" s="16"/>
      <c r="C30" s="96" t="s">
        <v>49</v>
      </c>
      <c r="D30" s="102">
        <f>D27</f>
        <v>597.915</v>
      </c>
      <c r="E30" s="97" t="s">
        <v>1</v>
      </c>
      <c r="F30" s="33"/>
      <c r="G30" s="32"/>
      <c r="H30" s="159"/>
    </row>
    <row r="31" spans="1:8" ht="24.95" customHeight="1">
      <c r="A31" s="10"/>
      <c r="B31" s="16"/>
      <c r="C31" s="98" t="s">
        <v>251</v>
      </c>
      <c r="D31" s="99">
        <f>SUM(D30)</f>
        <v>597.915</v>
      </c>
      <c r="E31" s="100" t="s">
        <v>1</v>
      </c>
      <c r="F31" s="33"/>
      <c r="G31" s="32"/>
      <c r="H31" s="159"/>
    </row>
    <row r="32" spans="1:8" s="8" customFormat="1" ht="24.95" customHeight="1">
      <c r="A32" s="13"/>
      <c r="B32" s="14"/>
      <c r="C32" s="141" t="s">
        <v>254</v>
      </c>
      <c r="D32" s="142">
        <f>D31*1/3</f>
        <v>199.30499999999998</v>
      </c>
      <c r="E32" s="143" t="s">
        <v>1</v>
      </c>
      <c r="F32" s="31"/>
      <c r="G32" s="32"/>
      <c r="H32" s="159"/>
    </row>
    <row r="33" spans="1:8" ht="24.95" customHeight="1">
      <c r="A33" s="10"/>
      <c r="B33" s="16"/>
      <c r="C33" s="98" t="s">
        <v>253</v>
      </c>
      <c r="D33" s="99">
        <f>SUM(D32:D32)</f>
        <v>199.30499999999998</v>
      </c>
      <c r="E33" s="100" t="s">
        <v>1</v>
      </c>
      <c r="F33" s="33"/>
      <c r="G33" s="32"/>
      <c r="H33" s="159"/>
    </row>
    <row r="34" spans="1:8" ht="24.95" customHeight="1">
      <c r="A34" s="10"/>
      <c r="B34" s="16"/>
      <c r="C34" s="98" t="s">
        <v>41</v>
      </c>
      <c r="D34" s="99">
        <f>D28+D33</f>
        <v>199.30499999999998</v>
      </c>
      <c r="E34" s="100" t="s">
        <v>1</v>
      </c>
      <c r="F34" s="33"/>
      <c r="G34" s="32"/>
      <c r="H34" s="159"/>
    </row>
    <row r="35" spans="1:8" ht="24.95" customHeight="1">
      <c r="A35" s="10"/>
      <c r="B35" s="16"/>
      <c r="C35" s="98"/>
      <c r="D35" s="99"/>
      <c r="E35" s="100"/>
      <c r="F35" s="33"/>
      <c r="G35" s="32"/>
      <c r="H35" s="159"/>
    </row>
    <row r="36" spans="1:8" ht="24.95" customHeight="1">
      <c r="A36" s="10"/>
      <c r="B36" s="16"/>
      <c r="C36" s="98"/>
      <c r="D36" s="99"/>
      <c r="E36" s="100"/>
      <c r="F36" s="33"/>
      <c r="G36" s="32"/>
      <c r="H36" s="159"/>
    </row>
    <row r="37" spans="1:10" ht="24.95" customHeight="1">
      <c r="A37" s="10"/>
      <c r="B37" s="16" t="s">
        <v>124</v>
      </c>
      <c r="C37" s="12" t="s">
        <v>125</v>
      </c>
      <c r="D37" s="24">
        <f>D45</f>
        <v>46.019999999999996</v>
      </c>
      <c r="E37" s="23" t="s">
        <v>1</v>
      </c>
      <c r="F37" s="33"/>
      <c r="G37" s="32">
        <f>D37*F37</f>
        <v>0</v>
      </c>
      <c r="H37" s="159"/>
      <c r="I37" s="7">
        <v>0.235</v>
      </c>
      <c r="J37" s="7">
        <f>D37*I37</f>
        <v>10.814699999999998</v>
      </c>
    </row>
    <row r="38" spans="1:8" ht="24.95" customHeight="1">
      <c r="A38" s="10"/>
      <c r="B38" s="16"/>
      <c r="C38" s="96" t="s">
        <v>311</v>
      </c>
      <c r="D38" s="102">
        <f>190*0</f>
        <v>0</v>
      </c>
      <c r="E38" s="97" t="s">
        <v>1</v>
      </c>
      <c r="F38" s="33"/>
      <c r="G38" s="32"/>
      <c r="H38" s="159"/>
    </row>
    <row r="39" spans="1:8" ht="24.95" customHeight="1">
      <c r="A39" s="10"/>
      <c r="B39" s="16"/>
      <c r="C39" s="96" t="s">
        <v>312</v>
      </c>
      <c r="D39" s="102">
        <f>240*0</f>
        <v>0</v>
      </c>
      <c r="E39" s="97" t="s">
        <v>1</v>
      </c>
      <c r="F39" s="33"/>
      <c r="G39" s="32"/>
      <c r="H39" s="159"/>
    </row>
    <row r="40" spans="1:8" ht="24.95" customHeight="1">
      <c r="A40" s="10"/>
      <c r="B40" s="16"/>
      <c r="C40" s="98" t="s">
        <v>252</v>
      </c>
      <c r="D40" s="99">
        <f>SUM(D38:D39)</f>
        <v>0</v>
      </c>
      <c r="E40" s="100" t="s">
        <v>1</v>
      </c>
      <c r="F40" s="33"/>
      <c r="G40" s="32"/>
      <c r="H40" s="159"/>
    </row>
    <row r="41" spans="1:8" ht="24.95" customHeight="1">
      <c r="A41" s="10"/>
      <c r="B41" s="16"/>
      <c r="C41" s="98" t="s">
        <v>313</v>
      </c>
      <c r="D41" s="99">
        <f>D40*1/3</f>
        <v>0</v>
      </c>
      <c r="E41" s="100" t="s">
        <v>1</v>
      </c>
      <c r="F41" s="33"/>
      <c r="G41" s="32"/>
      <c r="H41" s="159"/>
    </row>
    <row r="42" spans="1:8" s="8" customFormat="1" ht="24.95" customHeight="1">
      <c r="A42" s="13"/>
      <c r="B42" s="14"/>
      <c r="C42" s="96" t="s">
        <v>181</v>
      </c>
      <c r="D42" s="102">
        <f>4.8*3.9</f>
        <v>18.72</v>
      </c>
      <c r="E42" s="97" t="s">
        <v>1</v>
      </c>
      <c r="F42" s="31"/>
      <c r="G42" s="32"/>
      <c r="H42" s="159"/>
    </row>
    <row r="43" spans="1:8" s="8" customFormat="1" ht="24.95" customHeight="1">
      <c r="A43" s="13"/>
      <c r="B43" s="14"/>
      <c r="C43" s="132" t="s">
        <v>228</v>
      </c>
      <c r="D43" s="130">
        <f>3.9*7</f>
        <v>27.3</v>
      </c>
      <c r="E43" s="131" t="s">
        <v>1</v>
      </c>
      <c r="F43" s="31"/>
      <c r="G43" s="32"/>
      <c r="H43" s="159"/>
    </row>
    <row r="44" spans="1:8" ht="24.95" customHeight="1">
      <c r="A44" s="10"/>
      <c r="B44" s="16"/>
      <c r="C44" s="98" t="s">
        <v>302</v>
      </c>
      <c r="D44" s="99">
        <f>SUM(D42:D43)</f>
        <v>46.019999999999996</v>
      </c>
      <c r="E44" s="100" t="s">
        <v>1</v>
      </c>
      <c r="F44" s="33"/>
      <c r="G44" s="32"/>
      <c r="H44" s="159"/>
    </row>
    <row r="45" spans="1:8" ht="24.95" customHeight="1">
      <c r="A45" s="10"/>
      <c r="B45" s="16"/>
      <c r="C45" s="98" t="s">
        <v>41</v>
      </c>
      <c r="D45" s="99">
        <f>D41+D44</f>
        <v>46.019999999999996</v>
      </c>
      <c r="E45" s="100" t="s">
        <v>1</v>
      </c>
      <c r="F45" s="33"/>
      <c r="G45" s="32"/>
      <c r="H45" s="159"/>
    </row>
    <row r="46" spans="1:8" ht="24.95" customHeight="1">
      <c r="A46" s="10"/>
      <c r="B46" s="16"/>
      <c r="C46" s="98"/>
      <c r="D46" s="99"/>
      <c r="E46" s="100"/>
      <c r="F46" s="33"/>
      <c r="G46" s="32"/>
      <c r="H46" s="159"/>
    </row>
    <row r="47" spans="1:8" ht="24.95" customHeight="1">
      <c r="A47" s="10"/>
      <c r="B47" s="16"/>
      <c r="C47" s="12"/>
      <c r="D47" s="22"/>
      <c r="E47" s="23"/>
      <c r="F47" s="33"/>
      <c r="G47" s="32"/>
      <c r="H47" s="159"/>
    </row>
    <row r="48" spans="1:10" s="8" customFormat="1" ht="24.95" customHeight="1">
      <c r="A48" s="13"/>
      <c r="B48" s="14" t="s">
        <v>300</v>
      </c>
      <c r="C48" s="15" t="s">
        <v>301</v>
      </c>
      <c r="D48" s="24">
        <f>D49</f>
        <v>185.22625</v>
      </c>
      <c r="E48" s="25" t="s">
        <v>1</v>
      </c>
      <c r="F48" s="31"/>
      <c r="G48" s="32">
        <f>D48*F48</f>
        <v>0</v>
      </c>
      <c r="H48" s="159"/>
      <c r="I48" s="8">
        <v>0.185</v>
      </c>
      <c r="J48" s="8">
        <f>D48*I48</f>
        <v>34.26685625</v>
      </c>
    </row>
    <row r="49" spans="1:8" s="8" customFormat="1" ht="24.95" customHeight="1">
      <c r="A49" s="13"/>
      <c r="B49" s="14"/>
      <c r="C49" s="132" t="s">
        <v>148</v>
      </c>
      <c r="D49" s="130">
        <f>D51</f>
        <v>185.22625</v>
      </c>
      <c r="E49" s="131" t="s">
        <v>1</v>
      </c>
      <c r="F49" s="31"/>
      <c r="G49" s="32"/>
      <c r="H49" s="159"/>
    </row>
    <row r="50" spans="1:8" s="8" customFormat="1" ht="24.95" customHeight="1">
      <c r="A50" s="13"/>
      <c r="B50" s="14"/>
      <c r="C50" s="15"/>
      <c r="D50" s="24"/>
      <c r="E50" s="25"/>
      <c r="F50" s="31"/>
      <c r="G50" s="32"/>
      <c r="H50" s="159"/>
    </row>
    <row r="51" spans="1:10" s="8" customFormat="1" ht="24.95" customHeight="1">
      <c r="A51" s="13"/>
      <c r="B51" s="14" t="s">
        <v>127</v>
      </c>
      <c r="C51" s="15" t="s">
        <v>126</v>
      </c>
      <c r="D51" s="24">
        <f>D65</f>
        <v>185.22625</v>
      </c>
      <c r="E51" s="25" t="s">
        <v>1</v>
      </c>
      <c r="F51" s="31"/>
      <c r="G51" s="32">
        <f>D51*F51</f>
        <v>0</v>
      </c>
      <c r="H51" s="159"/>
      <c r="I51" s="8">
        <v>0.181</v>
      </c>
      <c r="J51" s="8">
        <f>D51*I51</f>
        <v>33.52595125</v>
      </c>
    </row>
    <row r="52" spans="1:8" s="8" customFormat="1" ht="24.95" customHeight="1">
      <c r="A52" s="13"/>
      <c r="B52" s="14"/>
      <c r="C52" s="96" t="s">
        <v>151</v>
      </c>
      <c r="D52" s="102">
        <f>5.7*4.2</f>
        <v>23.94</v>
      </c>
      <c r="E52" s="97" t="s">
        <v>1</v>
      </c>
      <c r="F52" s="31"/>
      <c r="G52" s="32"/>
      <c r="H52" s="159"/>
    </row>
    <row r="53" spans="1:8" s="8" customFormat="1" ht="24.95" customHeight="1">
      <c r="A53" s="13"/>
      <c r="B53" s="14"/>
      <c r="C53" s="96" t="s">
        <v>150</v>
      </c>
      <c r="D53" s="102">
        <f>2.1*1.7/2+2.1*2.4/2</f>
        <v>4.305</v>
      </c>
      <c r="E53" s="97" t="s">
        <v>1</v>
      </c>
      <c r="F53" s="31"/>
      <c r="G53" s="32"/>
      <c r="H53" s="159"/>
    </row>
    <row r="54" spans="1:8" s="8" customFormat="1" ht="24.95" customHeight="1">
      <c r="A54" s="13"/>
      <c r="B54" s="14"/>
      <c r="C54" s="96" t="s">
        <v>154</v>
      </c>
      <c r="D54" s="102">
        <f>7.8*4</f>
        <v>31.2</v>
      </c>
      <c r="E54" s="97" t="s">
        <v>1</v>
      </c>
      <c r="F54" s="31"/>
      <c r="G54" s="32"/>
      <c r="H54" s="159"/>
    </row>
    <row r="55" spans="1:8" s="8" customFormat="1" ht="24.95" customHeight="1">
      <c r="A55" s="13"/>
      <c r="B55" s="14"/>
      <c r="C55" s="96" t="s">
        <v>182</v>
      </c>
      <c r="D55" s="102">
        <f>2*2*2/2</f>
        <v>4</v>
      </c>
      <c r="E55" s="97" t="s">
        <v>1</v>
      </c>
      <c r="F55" s="31"/>
      <c r="G55" s="32"/>
      <c r="H55" s="159"/>
    </row>
    <row r="56" spans="1:8" s="8" customFormat="1" ht="24.95" customHeight="1">
      <c r="A56" s="13"/>
      <c r="B56" s="14"/>
      <c r="C56" s="96" t="s">
        <v>155</v>
      </c>
      <c r="D56" s="102">
        <f>4*5.6</f>
        <v>22.4</v>
      </c>
      <c r="E56" s="97" t="s">
        <v>1</v>
      </c>
      <c r="F56" s="31"/>
      <c r="G56" s="32"/>
      <c r="H56" s="159"/>
    </row>
    <row r="57" spans="1:8" s="8" customFormat="1" ht="24.95" customHeight="1">
      <c r="A57" s="13"/>
      <c r="B57" s="14"/>
      <c r="C57" s="96" t="s">
        <v>149</v>
      </c>
      <c r="D57" s="102">
        <f>2.2*2/2+2.2*2.6/2</f>
        <v>5.0600000000000005</v>
      </c>
      <c r="E57" s="97" t="s">
        <v>1</v>
      </c>
      <c r="F57" s="31"/>
      <c r="G57" s="32"/>
      <c r="H57" s="159"/>
    </row>
    <row r="58" spans="1:8" s="8" customFormat="1" ht="24.95" customHeight="1">
      <c r="A58" s="13"/>
      <c r="B58" s="14"/>
      <c r="C58" s="96" t="s">
        <v>307</v>
      </c>
      <c r="D58" s="102">
        <f>6*89</f>
        <v>534</v>
      </c>
      <c r="E58" s="97" t="s">
        <v>1</v>
      </c>
      <c r="F58" s="31"/>
      <c r="G58" s="32"/>
      <c r="H58" s="159"/>
    </row>
    <row r="59" spans="1:8" s="8" customFormat="1" ht="24.95" customHeight="1">
      <c r="A59" s="13"/>
      <c r="B59" s="14"/>
      <c r="C59" s="96" t="s">
        <v>308</v>
      </c>
      <c r="D59" s="102">
        <f>6*91</f>
        <v>546</v>
      </c>
      <c r="E59" s="97" t="s">
        <v>1</v>
      </c>
      <c r="F59" s="31"/>
      <c r="G59" s="32"/>
      <c r="H59" s="159"/>
    </row>
    <row r="60" spans="1:8" s="8" customFormat="1" ht="24.95" customHeight="1">
      <c r="A60" s="13"/>
      <c r="B60" s="14"/>
      <c r="C60" s="98" t="s">
        <v>42</v>
      </c>
      <c r="D60" s="99">
        <f>SUM(D52:D59)</f>
        <v>1170.905</v>
      </c>
      <c r="E60" s="100" t="s">
        <v>1</v>
      </c>
      <c r="F60" s="31"/>
      <c r="G60" s="32"/>
      <c r="H60" s="159"/>
    </row>
    <row r="61" spans="1:8" s="8" customFormat="1" ht="24.95" customHeight="1">
      <c r="A61" s="13"/>
      <c r="B61" s="14"/>
      <c r="C61" s="15"/>
      <c r="D61" s="24"/>
      <c r="E61" s="25"/>
      <c r="F61" s="31"/>
      <c r="G61" s="32"/>
      <c r="H61" s="159"/>
    </row>
    <row r="62" spans="1:8" s="8" customFormat="1" ht="24.95" customHeight="1">
      <c r="A62" s="13"/>
      <c r="B62" s="14"/>
      <c r="C62" s="96" t="s">
        <v>152</v>
      </c>
      <c r="D62" s="102">
        <v>-190</v>
      </c>
      <c r="E62" s="97" t="s">
        <v>1</v>
      </c>
      <c r="F62" s="31"/>
      <c r="G62" s="32"/>
      <c r="H62" s="159"/>
    </row>
    <row r="63" spans="1:8" s="8" customFormat="1" ht="24.95" customHeight="1">
      <c r="A63" s="13"/>
      <c r="B63" s="14"/>
      <c r="C63" s="96" t="s">
        <v>153</v>
      </c>
      <c r="D63" s="102">
        <v>-240</v>
      </c>
      <c r="E63" s="97" t="s">
        <v>1</v>
      </c>
      <c r="F63" s="31"/>
      <c r="G63" s="32"/>
      <c r="H63" s="159"/>
    </row>
    <row r="64" spans="1:8" s="8" customFormat="1" ht="24.95" customHeight="1">
      <c r="A64" s="13"/>
      <c r="B64" s="14"/>
      <c r="C64" s="98" t="s">
        <v>184</v>
      </c>
      <c r="D64" s="99">
        <f>SUM(D60:D63)</f>
        <v>740.905</v>
      </c>
      <c r="E64" s="100" t="s">
        <v>1</v>
      </c>
      <c r="F64" s="31"/>
      <c r="G64" s="32"/>
      <c r="H64" s="159"/>
    </row>
    <row r="65" spans="1:8" ht="24.95" customHeight="1">
      <c r="A65" s="10"/>
      <c r="B65" s="16"/>
      <c r="C65" s="98" t="s">
        <v>314</v>
      </c>
      <c r="D65" s="99">
        <f>D64*1/4</f>
        <v>185.22625</v>
      </c>
      <c r="E65" s="100" t="s">
        <v>1</v>
      </c>
      <c r="F65" s="33"/>
      <c r="G65" s="32"/>
      <c r="H65" s="159"/>
    </row>
    <row r="66" spans="1:8" ht="24.95" customHeight="1">
      <c r="A66" s="10"/>
      <c r="B66" s="16"/>
      <c r="C66" s="98"/>
      <c r="D66" s="99"/>
      <c r="E66" s="100"/>
      <c r="F66" s="33"/>
      <c r="G66" s="32"/>
      <c r="H66" s="159"/>
    </row>
    <row r="67" spans="1:10" ht="24.95" customHeight="1">
      <c r="A67" s="10"/>
      <c r="B67" s="16" t="s">
        <v>10</v>
      </c>
      <c r="C67" s="12" t="s">
        <v>128</v>
      </c>
      <c r="D67" s="22">
        <f>D76</f>
        <v>331</v>
      </c>
      <c r="E67" s="23" t="s">
        <v>5</v>
      </c>
      <c r="F67" s="33"/>
      <c r="G67" s="32">
        <f>D67*F67</f>
        <v>0</v>
      </c>
      <c r="H67" s="159"/>
      <c r="I67" s="7">
        <v>0.145</v>
      </c>
      <c r="J67" s="7">
        <f>D67*I67</f>
        <v>47.995</v>
      </c>
    </row>
    <row r="68" spans="1:8" ht="24.95" customHeight="1">
      <c r="A68" s="10"/>
      <c r="B68" s="16"/>
      <c r="C68" s="96" t="s">
        <v>38</v>
      </c>
      <c r="D68" s="102"/>
      <c r="E68" s="97"/>
      <c r="F68" s="33"/>
      <c r="G68" s="32"/>
      <c r="H68" s="159"/>
    </row>
    <row r="69" spans="1:8" ht="24.95" customHeight="1">
      <c r="A69" s="10"/>
      <c r="B69" s="16"/>
      <c r="C69" s="96" t="s">
        <v>183</v>
      </c>
      <c r="D69" s="102">
        <f>3.5+68.5+3.5</f>
        <v>75.5</v>
      </c>
      <c r="E69" s="97" t="s">
        <v>5</v>
      </c>
      <c r="F69" s="33"/>
      <c r="G69" s="32"/>
      <c r="H69" s="159"/>
    </row>
    <row r="70" spans="1:8" ht="24.95" customHeight="1">
      <c r="A70" s="10"/>
      <c r="B70" s="16"/>
      <c r="C70" s="96" t="s">
        <v>239</v>
      </c>
      <c r="D70" s="102">
        <f>3+69.5+3</f>
        <v>75.5</v>
      </c>
      <c r="E70" s="97" t="s">
        <v>5</v>
      </c>
      <c r="F70" s="33"/>
      <c r="G70" s="32"/>
      <c r="H70" s="159"/>
    </row>
    <row r="71" spans="1:8" ht="24.95" customHeight="1">
      <c r="A71" s="10"/>
      <c r="B71" s="16"/>
      <c r="C71" s="96" t="s">
        <v>260</v>
      </c>
      <c r="D71" s="102">
        <v>10</v>
      </c>
      <c r="E71" s="97" t="s">
        <v>5</v>
      </c>
      <c r="F71" s="33"/>
      <c r="G71" s="32"/>
      <c r="H71" s="159"/>
    </row>
    <row r="72" spans="1:8" ht="24.95" customHeight="1">
      <c r="A72" s="10"/>
      <c r="B72" s="16"/>
      <c r="C72" s="98" t="s">
        <v>39</v>
      </c>
      <c r="D72" s="99">
        <f>SUM(D69:D71)</f>
        <v>161</v>
      </c>
      <c r="E72" s="100" t="s">
        <v>5</v>
      </c>
      <c r="F72" s="33"/>
      <c r="G72" s="32"/>
      <c r="H72" s="159"/>
    </row>
    <row r="73" spans="1:8" ht="24.95" customHeight="1">
      <c r="A73" s="10"/>
      <c r="B73" s="16"/>
      <c r="C73" s="12"/>
      <c r="D73" s="22"/>
      <c r="E73" s="23"/>
      <c r="F73" s="33"/>
      <c r="G73" s="32"/>
      <c r="H73" s="159"/>
    </row>
    <row r="74" spans="1:8" ht="24.95" customHeight="1">
      <c r="A74" s="10"/>
      <c r="B74" s="16"/>
      <c r="C74" s="96" t="s">
        <v>261</v>
      </c>
      <c r="D74" s="102">
        <v>170</v>
      </c>
      <c r="E74" s="97" t="s">
        <v>5</v>
      </c>
      <c r="F74" s="33"/>
      <c r="G74" s="32"/>
      <c r="H74" s="159"/>
    </row>
    <row r="75" spans="1:8" ht="24.95" customHeight="1">
      <c r="A75" s="10"/>
      <c r="B75" s="16"/>
      <c r="C75" s="98" t="s">
        <v>43</v>
      </c>
      <c r="D75" s="99">
        <f>D74</f>
        <v>170</v>
      </c>
      <c r="E75" s="100" t="s">
        <v>5</v>
      </c>
      <c r="F75" s="33"/>
      <c r="G75" s="32"/>
      <c r="H75" s="159"/>
    </row>
    <row r="76" spans="1:8" ht="24.95" customHeight="1">
      <c r="A76" s="10"/>
      <c r="B76" s="16"/>
      <c r="C76" s="98" t="s">
        <v>44</v>
      </c>
      <c r="D76" s="99">
        <f>D75+D72</f>
        <v>331</v>
      </c>
      <c r="E76" s="100" t="s">
        <v>5</v>
      </c>
      <c r="F76" s="33"/>
      <c r="G76" s="32"/>
      <c r="H76" s="159"/>
    </row>
    <row r="77" spans="1:8" ht="24.95" customHeight="1">
      <c r="A77" s="10"/>
      <c r="B77" s="16"/>
      <c r="C77" s="96"/>
      <c r="D77" s="102"/>
      <c r="E77" s="97"/>
      <c r="F77" s="33"/>
      <c r="G77" s="32"/>
      <c r="H77" s="159"/>
    </row>
    <row r="78" spans="1:10" ht="24.95" customHeight="1">
      <c r="A78" s="10"/>
      <c r="B78" s="16" t="s">
        <v>129</v>
      </c>
      <c r="C78" s="12" t="s">
        <v>130</v>
      </c>
      <c r="D78" s="22">
        <f>D95</f>
        <v>139.7</v>
      </c>
      <c r="E78" s="23" t="s">
        <v>5</v>
      </c>
      <c r="F78" s="33"/>
      <c r="G78" s="32">
        <f>D78*F78</f>
        <v>0</v>
      </c>
      <c r="H78" s="159"/>
      <c r="I78" s="7">
        <v>0.04</v>
      </c>
      <c r="J78" s="7">
        <f>D78*I78</f>
        <v>5.588</v>
      </c>
    </row>
    <row r="79" spans="1:8" ht="24.95" customHeight="1">
      <c r="A79" s="10"/>
      <c r="B79" s="16"/>
      <c r="C79" s="96" t="s">
        <v>40</v>
      </c>
      <c r="D79" s="102"/>
      <c r="E79" s="97"/>
      <c r="F79" s="33"/>
      <c r="G79" s="32"/>
      <c r="H79" s="159"/>
    </row>
    <row r="80" spans="1:8" ht="24.95" customHeight="1">
      <c r="A80" s="10"/>
      <c r="B80" s="16"/>
      <c r="C80" s="96" t="s">
        <v>37</v>
      </c>
      <c r="D80" s="102"/>
      <c r="E80" s="97"/>
      <c r="F80" s="33"/>
      <c r="G80" s="32"/>
      <c r="H80" s="159"/>
    </row>
    <row r="81" spans="1:8" ht="24.95" customHeight="1">
      <c r="A81" s="10"/>
      <c r="B81" s="16"/>
      <c r="C81" s="96" t="s">
        <v>238</v>
      </c>
      <c r="D81" s="102">
        <f>133</f>
        <v>133</v>
      </c>
      <c r="E81" s="97" t="s">
        <v>5</v>
      </c>
      <c r="F81" s="33"/>
      <c r="G81" s="32"/>
      <c r="H81" s="159"/>
    </row>
    <row r="82" spans="1:8" ht="24.95" customHeight="1">
      <c r="A82" s="10"/>
      <c r="B82" s="16"/>
      <c r="C82" s="98" t="s">
        <v>279</v>
      </c>
      <c r="D82" s="99">
        <f>SUM(D81)</f>
        <v>133</v>
      </c>
      <c r="E82" s="100" t="s">
        <v>5</v>
      </c>
      <c r="F82" s="33"/>
      <c r="G82" s="32"/>
      <c r="H82" s="159"/>
    </row>
    <row r="83" spans="1:8" ht="24.95" customHeight="1">
      <c r="A83" s="10"/>
      <c r="B83" s="16"/>
      <c r="C83" s="96" t="s">
        <v>276</v>
      </c>
      <c r="D83" s="102"/>
      <c r="E83" s="97"/>
      <c r="F83" s="33"/>
      <c r="G83" s="32"/>
      <c r="H83" s="159"/>
    </row>
    <row r="84" spans="1:8" ht="24.95" customHeight="1">
      <c r="A84" s="10"/>
      <c r="B84" s="16"/>
      <c r="C84" s="96" t="s">
        <v>179</v>
      </c>
      <c r="D84" s="102">
        <v>-2</v>
      </c>
      <c r="E84" s="97" t="s">
        <v>5</v>
      </c>
      <c r="F84" s="33"/>
      <c r="G84" s="32"/>
      <c r="H84" s="159"/>
    </row>
    <row r="85" spans="1:8" ht="24.95" customHeight="1">
      <c r="A85" s="10"/>
      <c r="B85" s="16"/>
      <c r="C85" s="96" t="s">
        <v>178</v>
      </c>
      <c r="D85" s="102">
        <v>-4.2</v>
      </c>
      <c r="E85" s="97" t="s">
        <v>5</v>
      </c>
      <c r="F85" s="33"/>
      <c r="G85" s="32"/>
      <c r="H85" s="159"/>
    </row>
    <row r="86" spans="1:8" ht="24.95" customHeight="1">
      <c r="A86" s="10"/>
      <c r="B86" s="16"/>
      <c r="C86" s="96" t="s">
        <v>176</v>
      </c>
      <c r="D86" s="102">
        <v>-5.1</v>
      </c>
      <c r="E86" s="97" t="s">
        <v>5</v>
      </c>
      <c r="F86" s="33"/>
      <c r="G86" s="32"/>
      <c r="H86" s="159"/>
    </row>
    <row r="87" spans="1:8" ht="24.95" customHeight="1">
      <c r="A87" s="10"/>
      <c r="B87" s="16"/>
      <c r="C87" s="96" t="s">
        <v>175</v>
      </c>
      <c r="D87" s="102">
        <v>-3.7</v>
      </c>
      <c r="E87" s="97" t="s">
        <v>5</v>
      </c>
      <c r="F87" s="33"/>
      <c r="G87" s="32"/>
      <c r="H87" s="159"/>
    </row>
    <row r="88" spans="1:8" ht="24.95" customHeight="1">
      <c r="A88" s="10"/>
      <c r="B88" s="16"/>
      <c r="C88" s="96" t="s">
        <v>174</v>
      </c>
      <c r="D88" s="102">
        <v>-4</v>
      </c>
      <c r="E88" s="97" t="s">
        <v>5</v>
      </c>
      <c r="F88" s="33"/>
      <c r="G88" s="32"/>
      <c r="H88" s="159"/>
    </row>
    <row r="89" spans="1:8" ht="24.95" customHeight="1">
      <c r="A89" s="10"/>
      <c r="B89" s="16"/>
      <c r="C89" s="96" t="s">
        <v>173</v>
      </c>
      <c r="D89" s="102">
        <v>-1.8</v>
      </c>
      <c r="E89" s="97" t="s">
        <v>5</v>
      </c>
      <c r="F89" s="33"/>
      <c r="G89" s="32"/>
      <c r="H89" s="159"/>
    </row>
    <row r="90" spans="1:8" ht="24.95" customHeight="1">
      <c r="A90" s="10"/>
      <c r="B90" s="16"/>
      <c r="C90" s="96" t="s">
        <v>172</v>
      </c>
      <c r="D90" s="102" t="s">
        <v>277</v>
      </c>
      <c r="E90" s="97" t="s">
        <v>5</v>
      </c>
      <c r="F90" s="33"/>
      <c r="G90" s="32"/>
      <c r="H90" s="159"/>
    </row>
    <row r="91" spans="1:8" ht="24.95" customHeight="1">
      <c r="A91" s="10"/>
      <c r="B91" s="16"/>
      <c r="C91" s="96" t="s">
        <v>171</v>
      </c>
      <c r="D91" s="102">
        <v>-4.5</v>
      </c>
      <c r="E91" s="97" t="s">
        <v>5</v>
      </c>
      <c r="F91" s="33"/>
      <c r="G91" s="32"/>
      <c r="H91" s="159"/>
    </row>
    <row r="92" spans="1:8" ht="24.95" customHeight="1">
      <c r="A92" s="10"/>
      <c r="B92" s="16"/>
      <c r="C92" s="98" t="s">
        <v>278</v>
      </c>
      <c r="D92" s="99">
        <f>SUM(D84:D91)</f>
        <v>-25.3</v>
      </c>
      <c r="E92" s="100" t="s">
        <v>5</v>
      </c>
      <c r="F92" s="33"/>
      <c r="G92" s="32"/>
      <c r="H92" s="159"/>
    </row>
    <row r="93" spans="1:8" ht="24.95" customHeight="1">
      <c r="A93" s="10"/>
      <c r="B93" s="16"/>
      <c r="C93" s="96" t="s">
        <v>284</v>
      </c>
      <c r="D93" s="102">
        <f>8*2*2</f>
        <v>32</v>
      </c>
      <c r="E93" s="97" t="s">
        <v>5</v>
      </c>
      <c r="F93" s="33"/>
      <c r="G93" s="32"/>
      <c r="H93" s="159"/>
    </row>
    <row r="94" spans="1:8" ht="24.95" customHeight="1">
      <c r="A94" s="10"/>
      <c r="B94" s="16"/>
      <c r="C94" s="98" t="s">
        <v>278</v>
      </c>
      <c r="D94" s="99">
        <f>SUM(D93)</f>
        <v>32</v>
      </c>
      <c r="E94" s="100" t="s">
        <v>5</v>
      </c>
      <c r="F94" s="33"/>
      <c r="G94" s="32"/>
      <c r="H94" s="159"/>
    </row>
    <row r="95" spans="1:8" ht="24.95" customHeight="1">
      <c r="A95" s="10"/>
      <c r="B95" s="16"/>
      <c r="C95" s="98" t="s">
        <v>185</v>
      </c>
      <c r="D95" s="99">
        <f>D82+D92+D94</f>
        <v>139.7</v>
      </c>
      <c r="E95" s="100" t="s">
        <v>5</v>
      </c>
      <c r="F95" s="33"/>
      <c r="G95" s="32"/>
      <c r="H95" s="159"/>
    </row>
    <row r="96" spans="1:8" ht="24.95" customHeight="1">
      <c r="A96" s="10"/>
      <c r="B96" s="16"/>
      <c r="C96" s="98"/>
      <c r="D96" s="99"/>
      <c r="E96" s="100"/>
      <c r="F96" s="33"/>
      <c r="G96" s="32"/>
      <c r="H96" s="159"/>
    </row>
    <row r="97" spans="1:8" ht="24.95" customHeight="1">
      <c r="A97" s="10"/>
      <c r="B97" s="16" t="s">
        <v>156</v>
      </c>
      <c r="C97" s="12" t="s">
        <v>157</v>
      </c>
      <c r="D97" s="22">
        <f>D128</f>
        <v>15.695</v>
      </c>
      <c r="E97" s="23" t="s">
        <v>3</v>
      </c>
      <c r="F97" s="33"/>
      <c r="G97" s="32">
        <f>D97*F97</f>
        <v>0</v>
      </c>
      <c r="H97" s="159"/>
    </row>
    <row r="98" spans="1:8" ht="24.95" customHeight="1">
      <c r="A98" s="10"/>
      <c r="B98" s="106"/>
      <c r="C98" s="107" t="s">
        <v>262</v>
      </c>
      <c r="D98" s="144">
        <f>0.25*2.2*32</f>
        <v>17.6</v>
      </c>
      <c r="E98" s="108" t="s">
        <v>3</v>
      </c>
      <c r="F98" s="105"/>
      <c r="G98" s="32"/>
      <c r="H98" s="159"/>
    </row>
    <row r="99" spans="1:8" ht="24.95" customHeight="1">
      <c r="A99" s="10"/>
      <c r="B99" s="106"/>
      <c r="C99" s="96" t="s">
        <v>282</v>
      </c>
      <c r="D99" s="102">
        <f>-0.25*4.8*3.9</f>
        <v>-4.68</v>
      </c>
      <c r="E99" s="97" t="s">
        <v>3</v>
      </c>
      <c r="F99" s="105"/>
      <c r="G99" s="32"/>
      <c r="H99" s="159"/>
    </row>
    <row r="100" spans="1:8" ht="24.95" customHeight="1">
      <c r="A100" s="10"/>
      <c r="B100" s="106"/>
      <c r="C100" s="132" t="s">
        <v>283</v>
      </c>
      <c r="D100" s="130">
        <f>-0.25*3.9*7</f>
        <v>-6.825</v>
      </c>
      <c r="E100" s="131" t="s">
        <v>3</v>
      </c>
      <c r="F100" s="105"/>
      <c r="G100" s="32"/>
      <c r="H100" s="159"/>
    </row>
    <row r="101" spans="1:8" ht="24.95" customHeight="1">
      <c r="A101" s="10"/>
      <c r="B101" s="106"/>
      <c r="C101" s="98" t="s">
        <v>199</v>
      </c>
      <c r="D101" s="99">
        <f>SUM(D98:D100)</f>
        <v>6.0950000000000015</v>
      </c>
      <c r="E101" s="100" t="s">
        <v>3</v>
      </c>
      <c r="F101" s="105"/>
      <c r="G101" s="32"/>
      <c r="H101" s="159"/>
    </row>
    <row r="102" spans="1:8" ht="24.95" customHeight="1">
      <c r="A102" s="10"/>
      <c r="B102" s="106"/>
      <c r="C102" s="107" t="s">
        <v>186</v>
      </c>
      <c r="D102" s="144"/>
      <c r="E102" s="108"/>
      <c r="F102" s="105"/>
      <c r="G102" s="32"/>
      <c r="H102" s="159"/>
    </row>
    <row r="103" spans="1:8" ht="24.95" customHeight="1">
      <c r="A103" s="10"/>
      <c r="B103" s="106"/>
      <c r="C103" s="96" t="s">
        <v>180</v>
      </c>
      <c r="D103" s="102"/>
      <c r="E103" s="97"/>
      <c r="F103" s="105"/>
      <c r="G103" s="32"/>
      <c r="H103" s="159"/>
    </row>
    <row r="104" spans="1:8" ht="24.95" customHeight="1">
      <c r="A104" s="10"/>
      <c r="B104" s="106"/>
      <c r="C104" s="96" t="s">
        <v>179</v>
      </c>
      <c r="D104" s="102">
        <v>-4</v>
      </c>
      <c r="E104" s="97" t="s">
        <v>1</v>
      </c>
      <c r="F104" s="105"/>
      <c r="G104" s="32"/>
      <c r="H104" s="159"/>
    </row>
    <row r="105" spans="1:8" ht="24.95" customHeight="1">
      <c r="A105" s="10"/>
      <c r="B105" s="106"/>
      <c r="C105" s="96" t="s">
        <v>178</v>
      </c>
      <c r="D105" s="102">
        <f>-2*4.2</f>
        <v>-8.4</v>
      </c>
      <c r="E105" s="97" t="s">
        <v>1</v>
      </c>
      <c r="F105" s="105"/>
      <c r="G105" s="32"/>
      <c r="H105" s="159"/>
    </row>
    <row r="106" spans="1:8" ht="24.95" customHeight="1">
      <c r="A106" s="10"/>
      <c r="B106" s="106"/>
      <c r="C106" s="96" t="s">
        <v>176</v>
      </c>
      <c r="D106" s="102">
        <f>-2*5.1</f>
        <v>-10.2</v>
      </c>
      <c r="E106" s="97" t="s">
        <v>1</v>
      </c>
      <c r="F106" s="105"/>
      <c r="G106" s="32"/>
      <c r="H106" s="159"/>
    </row>
    <row r="107" spans="1:8" ht="24.95" customHeight="1">
      <c r="A107" s="10"/>
      <c r="B107" s="106"/>
      <c r="C107" s="96" t="s">
        <v>175</v>
      </c>
      <c r="D107" s="102">
        <f>-2*3.7</f>
        <v>-7.4</v>
      </c>
      <c r="E107" s="97" t="s">
        <v>1</v>
      </c>
      <c r="F107" s="105"/>
      <c r="G107" s="32"/>
      <c r="H107" s="159"/>
    </row>
    <row r="108" spans="1:8" ht="24.95" customHeight="1">
      <c r="A108" s="10"/>
      <c r="B108" s="106"/>
      <c r="C108" s="96" t="s">
        <v>174</v>
      </c>
      <c r="D108" s="102">
        <f>-2*4</f>
        <v>-8</v>
      </c>
      <c r="E108" s="97" t="s">
        <v>1</v>
      </c>
      <c r="F108" s="105"/>
      <c r="G108" s="32"/>
      <c r="H108" s="159"/>
    </row>
    <row r="109" spans="1:8" ht="24.95" customHeight="1">
      <c r="A109" s="10"/>
      <c r="B109" s="106"/>
      <c r="C109" s="96" t="s">
        <v>173</v>
      </c>
      <c r="D109" s="102">
        <f>-2*1.8</f>
        <v>-3.6</v>
      </c>
      <c r="E109" s="97" t="s">
        <v>1</v>
      </c>
      <c r="F109" s="105"/>
      <c r="G109" s="32"/>
      <c r="H109" s="159"/>
    </row>
    <row r="110" spans="1:8" ht="24.95" customHeight="1">
      <c r="A110" s="10"/>
      <c r="B110" s="106"/>
      <c r="C110" s="96" t="s">
        <v>172</v>
      </c>
      <c r="D110" s="102">
        <f>-2*4</f>
        <v>-8</v>
      </c>
      <c r="E110" s="97" t="s">
        <v>1</v>
      </c>
      <c r="F110" s="105"/>
      <c r="G110" s="32"/>
      <c r="H110" s="159"/>
    </row>
    <row r="111" spans="1:8" ht="24.95" customHeight="1">
      <c r="A111" s="10"/>
      <c r="B111" s="106"/>
      <c r="C111" s="96" t="s">
        <v>171</v>
      </c>
      <c r="D111" s="102">
        <f>-2*4.5</f>
        <v>-9</v>
      </c>
      <c r="E111" s="97" t="s">
        <v>1</v>
      </c>
      <c r="F111" s="105"/>
      <c r="G111" s="32"/>
      <c r="H111" s="159"/>
    </row>
    <row r="112" spans="1:8" ht="24.95" customHeight="1">
      <c r="A112" s="10"/>
      <c r="B112" s="106"/>
      <c r="C112" s="96" t="s">
        <v>177</v>
      </c>
      <c r="D112" s="102">
        <f>-2*3*0</f>
        <v>0</v>
      </c>
      <c r="E112" s="97" t="s">
        <v>1</v>
      </c>
      <c r="F112" s="105"/>
      <c r="G112" s="32"/>
      <c r="H112" s="159"/>
    </row>
    <row r="113" spans="1:8" ht="24.95" customHeight="1">
      <c r="A113" s="10"/>
      <c r="B113" s="106"/>
      <c r="C113" s="98" t="s">
        <v>187</v>
      </c>
      <c r="D113" s="99">
        <f>SUM(D104:D112)</f>
        <v>-58.6</v>
      </c>
      <c r="E113" s="100" t="s">
        <v>1</v>
      </c>
      <c r="F113" s="105"/>
      <c r="G113" s="32"/>
      <c r="H113" s="159"/>
    </row>
    <row r="114" spans="1:8" ht="24.95" customHeight="1">
      <c r="A114" s="10"/>
      <c r="B114" s="106"/>
      <c r="C114" s="98" t="s">
        <v>188</v>
      </c>
      <c r="D114" s="99">
        <f>D113*0.25</f>
        <v>-14.65</v>
      </c>
      <c r="E114" s="100" t="s">
        <v>3</v>
      </c>
      <c r="F114" s="105"/>
      <c r="G114" s="32"/>
      <c r="H114" s="159"/>
    </row>
    <row r="115" spans="1:8" ht="24.95" customHeight="1">
      <c r="A115" s="10"/>
      <c r="B115" s="106"/>
      <c r="C115" s="107"/>
      <c r="D115" s="144"/>
      <c r="E115" s="108"/>
      <c r="F115" s="105"/>
      <c r="G115" s="32"/>
      <c r="H115" s="159"/>
    </row>
    <row r="116" spans="1:8" ht="24.95" customHeight="1">
      <c r="A116" s="10"/>
      <c r="B116" s="106"/>
      <c r="C116" s="107" t="s">
        <v>189</v>
      </c>
      <c r="D116" s="144"/>
      <c r="E116" s="108"/>
      <c r="F116" s="105"/>
      <c r="G116" s="32"/>
      <c r="H116" s="159"/>
    </row>
    <row r="117" spans="1:8" ht="24.95" customHeight="1">
      <c r="A117" s="10"/>
      <c r="B117" s="106"/>
      <c r="C117" s="96" t="s">
        <v>190</v>
      </c>
      <c r="D117" s="102">
        <v>4</v>
      </c>
      <c r="E117" s="97" t="s">
        <v>1</v>
      </c>
      <c r="F117" s="105"/>
      <c r="G117" s="32"/>
      <c r="H117" s="159"/>
    </row>
    <row r="118" spans="1:8" ht="24.95" customHeight="1">
      <c r="A118" s="10"/>
      <c r="B118" s="106"/>
      <c r="C118" s="96" t="s">
        <v>191</v>
      </c>
      <c r="D118" s="102">
        <f>2*(4.5+2*1)</f>
        <v>13</v>
      </c>
      <c r="E118" s="97" t="s">
        <v>1</v>
      </c>
      <c r="F118" s="105"/>
      <c r="G118" s="32"/>
      <c r="H118" s="159"/>
    </row>
    <row r="119" spans="1:8" ht="24.95" customHeight="1">
      <c r="A119" s="10"/>
      <c r="B119" s="106"/>
      <c r="C119" s="96" t="s">
        <v>192</v>
      </c>
      <c r="D119" s="102">
        <f>2*(5.5+2*1)</f>
        <v>15</v>
      </c>
      <c r="E119" s="97" t="s">
        <v>1</v>
      </c>
      <c r="F119" s="105"/>
      <c r="G119" s="32"/>
      <c r="H119" s="159"/>
    </row>
    <row r="120" spans="1:8" ht="24.95" customHeight="1">
      <c r="A120" s="10"/>
      <c r="B120" s="106"/>
      <c r="C120" s="96" t="s">
        <v>193</v>
      </c>
      <c r="D120" s="102">
        <f>2*(4+2*1)</f>
        <v>12</v>
      </c>
      <c r="E120" s="97" t="s">
        <v>1</v>
      </c>
      <c r="F120" s="105"/>
      <c r="G120" s="32"/>
      <c r="H120" s="159"/>
    </row>
    <row r="121" spans="1:8" ht="24.95" customHeight="1">
      <c r="A121" s="10"/>
      <c r="B121" s="106"/>
      <c r="C121" s="96" t="s">
        <v>194</v>
      </c>
      <c r="D121" s="102">
        <f>2*(4+2*1)</f>
        <v>12</v>
      </c>
      <c r="E121" s="97" t="s">
        <v>1</v>
      </c>
      <c r="F121" s="105"/>
      <c r="G121" s="32"/>
      <c r="H121" s="159"/>
    </row>
    <row r="122" spans="1:8" ht="24.95" customHeight="1">
      <c r="A122" s="10"/>
      <c r="B122" s="106"/>
      <c r="C122" s="96" t="s">
        <v>195</v>
      </c>
      <c r="D122" s="102">
        <f>2*1.5</f>
        <v>3</v>
      </c>
      <c r="E122" s="97" t="s">
        <v>1</v>
      </c>
      <c r="F122" s="105"/>
      <c r="G122" s="32"/>
      <c r="H122" s="159"/>
    </row>
    <row r="123" spans="1:8" ht="24.95" customHeight="1">
      <c r="A123" s="10"/>
      <c r="B123" s="106"/>
      <c r="C123" s="96" t="s">
        <v>196</v>
      </c>
      <c r="D123" s="102">
        <f>2*(4+2*1)</f>
        <v>12</v>
      </c>
      <c r="E123" s="97" t="s">
        <v>1</v>
      </c>
      <c r="F123" s="105"/>
      <c r="G123" s="32"/>
      <c r="H123" s="159"/>
    </row>
    <row r="124" spans="1:8" ht="24.95" customHeight="1">
      <c r="A124" s="10"/>
      <c r="B124" s="106"/>
      <c r="C124" s="96" t="s">
        <v>197</v>
      </c>
      <c r="D124" s="102">
        <f>2*(5+2*1)</f>
        <v>14</v>
      </c>
      <c r="E124" s="97" t="s">
        <v>1</v>
      </c>
      <c r="F124" s="105"/>
      <c r="G124" s="32"/>
      <c r="H124" s="159"/>
    </row>
    <row r="125" spans="1:8" ht="24.95" customHeight="1">
      <c r="A125" s="10"/>
      <c r="B125" s="106"/>
      <c r="C125" s="96" t="s">
        <v>198</v>
      </c>
      <c r="D125" s="102">
        <f>2*(4+2*1)</f>
        <v>12</v>
      </c>
      <c r="E125" s="97" t="s">
        <v>1</v>
      </c>
      <c r="F125" s="105"/>
      <c r="G125" s="32"/>
      <c r="H125" s="159"/>
    </row>
    <row r="126" spans="1:8" ht="24.95" customHeight="1">
      <c r="A126" s="10"/>
      <c r="B126" s="106"/>
      <c r="C126" s="98" t="s">
        <v>204</v>
      </c>
      <c r="D126" s="99">
        <f>SUM(D117:D125)</f>
        <v>97</v>
      </c>
      <c r="E126" s="100" t="s">
        <v>1</v>
      </c>
      <c r="F126" s="105"/>
      <c r="G126" s="32"/>
      <c r="H126" s="159"/>
    </row>
    <row r="127" spans="1:8" ht="24.95" customHeight="1">
      <c r="A127" s="10"/>
      <c r="B127" s="106"/>
      <c r="C127" s="98" t="s">
        <v>188</v>
      </c>
      <c r="D127" s="99">
        <f>D126*0.25</f>
        <v>24.25</v>
      </c>
      <c r="E127" s="100" t="s">
        <v>3</v>
      </c>
      <c r="F127" s="105"/>
      <c r="G127" s="32"/>
      <c r="H127" s="159"/>
    </row>
    <row r="128" spans="1:8" ht="24.95" customHeight="1">
      <c r="A128" s="10"/>
      <c r="B128" s="106"/>
      <c r="C128" s="98" t="s">
        <v>200</v>
      </c>
      <c r="D128" s="99">
        <f>D101+D114+D127</f>
        <v>15.695</v>
      </c>
      <c r="E128" s="100" t="s">
        <v>3</v>
      </c>
      <c r="F128" s="105"/>
      <c r="G128" s="32"/>
      <c r="H128" s="159"/>
    </row>
    <row r="129" spans="1:8" ht="24.95" customHeight="1">
      <c r="A129" s="10"/>
      <c r="B129" s="106"/>
      <c r="C129" s="107"/>
      <c r="D129" s="144"/>
      <c r="E129" s="108"/>
      <c r="F129" s="105"/>
      <c r="G129" s="32"/>
      <c r="H129" s="159"/>
    </row>
    <row r="130" spans="1:8" ht="24.95" customHeight="1">
      <c r="A130" s="10"/>
      <c r="B130" s="16" t="s">
        <v>158</v>
      </c>
      <c r="C130" s="12" t="s">
        <v>159</v>
      </c>
      <c r="D130" s="22">
        <f>D97</f>
        <v>15.695</v>
      </c>
      <c r="E130" s="23" t="s">
        <v>3</v>
      </c>
      <c r="F130" s="33"/>
      <c r="G130" s="32">
        <f>D130*F130</f>
        <v>0</v>
      </c>
      <c r="H130" s="159"/>
    </row>
    <row r="131" spans="1:8" ht="24.95" customHeight="1">
      <c r="A131" s="10"/>
      <c r="B131" s="16" t="s">
        <v>163</v>
      </c>
      <c r="C131" s="12" t="s">
        <v>164</v>
      </c>
      <c r="D131" s="22">
        <f>D130*2</f>
        <v>31.39</v>
      </c>
      <c r="E131" s="23" t="s">
        <v>3</v>
      </c>
      <c r="F131" s="33"/>
      <c r="G131" s="32">
        <f aca="true" t="shared" si="0" ref="G131:G133">D131*F131</f>
        <v>0</v>
      </c>
      <c r="H131" s="159"/>
    </row>
    <row r="132" spans="1:8" ht="24.95" customHeight="1">
      <c r="A132" s="10"/>
      <c r="B132" s="16" t="s">
        <v>161</v>
      </c>
      <c r="C132" s="12" t="s">
        <v>162</v>
      </c>
      <c r="D132" s="22">
        <f>D130</f>
        <v>15.695</v>
      </c>
      <c r="E132" s="23" t="s">
        <v>3</v>
      </c>
      <c r="F132" s="33"/>
      <c r="G132" s="32">
        <f t="shared" si="0"/>
        <v>0</v>
      </c>
      <c r="H132" s="159"/>
    </row>
    <row r="133" spans="1:8" ht="24.95" customHeight="1">
      <c r="A133" s="10"/>
      <c r="B133" s="16" t="s">
        <v>165</v>
      </c>
      <c r="C133" s="12" t="s">
        <v>166</v>
      </c>
      <c r="D133" s="22">
        <f>D140</f>
        <v>930.115</v>
      </c>
      <c r="E133" s="23" t="s">
        <v>1</v>
      </c>
      <c r="F133" s="33"/>
      <c r="G133" s="32">
        <f t="shared" si="0"/>
        <v>0</v>
      </c>
      <c r="H133" s="159"/>
    </row>
    <row r="134" spans="1:8" s="120" customFormat="1" ht="24.95" customHeight="1">
      <c r="A134" s="116"/>
      <c r="B134" s="117"/>
      <c r="C134" s="96" t="s">
        <v>36</v>
      </c>
      <c r="D134" s="102"/>
      <c r="E134" s="97"/>
      <c r="F134" s="118"/>
      <c r="G134" s="119"/>
      <c r="H134" s="160"/>
    </row>
    <row r="135" spans="1:8" s="120" customFormat="1" ht="24.95" customHeight="1">
      <c r="A135" s="116"/>
      <c r="B135" s="117"/>
      <c r="C135" s="96" t="s">
        <v>236</v>
      </c>
      <c r="D135" s="102">
        <f>1.9*(68.2+72.2)/2</f>
        <v>133.38</v>
      </c>
      <c r="E135" s="97" t="s">
        <v>1</v>
      </c>
      <c r="F135" s="118"/>
      <c r="G135" s="119"/>
      <c r="H135" s="160"/>
    </row>
    <row r="136" spans="1:8" s="120" customFormat="1" ht="24.95" customHeight="1">
      <c r="A136" s="116"/>
      <c r="B136" s="117"/>
      <c r="C136" s="96" t="s">
        <v>237</v>
      </c>
      <c r="D136" s="102">
        <f>1.9*(69.1+72.2)/2</f>
        <v>134.235</v>
      </c>
      <c r="E136" s="97" t="s">
        <v>1</v>
      </c>
      <c r="F136" s="118"/>
      <c r="G136" s="119"/>
      <c r="H136" s="160"/>
    </row>
    <row r="137" spans="1:8" s="120" customFormat="1" ht="24.95" customHeight="1">
      <c r="A137" s="116"/>
      <c r="B137" s="117"/>
      <c r="C137" s="96" t="s">
        <v>259</v>
      </c>
      <c r="D137" s="102">
        <f>1.9*10</f>
        <v>19</v>
      </c>
      <c r="E137" s="97" t="s">
        <v>1</v>
      </c>
      <c r="F137" s="118"/>
      <c r="G137" s="119"/>
      <c r="H137" s="160"/>
    </row>
    <row r="138" spans="1:8" s="120" customFormat="1" ht="24.95" customHeight="1">
      <c r="A138" s="116"/>
      <c r="B138" s="117"/>
      <c r="C138" s="98" t="s">
        <v>255</v>
      </c>
      <c r="D138" s="99">
        <f>SUM(D134:D137)</f>
        <v>286.615</v>
      </c>
      <c r="E138" s="100" t="s">
        <v>1</v>
      </c>
      <c r="F138" s="118"/>
      <c r="G138" s="119"/>
      <c r="H138" s="160"/>
    </row>
    <row r="139" spans="1:8" s="120" customFormat="1" ht="24.95" customHeight="1">
      <c r="A139" s="116"/>
      <c r="B139" s="117"/>
      <c r="C139" s="98" t="s">
        <v>263</v>
      </c>
      <c r="D139" s="99">
        <f>3.9*(133+32)</f>
        <v>643.5</v>
      </c>
      <c r="E139" s="100" t="s">
        <v>1</v>
      </c>
      <c r="F139" s="118"/>
      <c r="G139" s="119"/>
      <c r="H139" s="160"/>
    </row>
    <row r="140" spans="1:8" s="120" customFormat="1" ht="24.95" customHeight="1">
      <c r="A140" s="116"/>
      <c r="B140" s="117"/>
      <c r="C140" s="98" t="s">
        <v>41</v>
      </c>
      <c r="D140" s="99">
        <f>D138+D139</f>
        <v>930.115</v>
      </c>
      <c r="E140" s="100" t="s">
        <v>1</v>
      </c>
      <c r="F140" s="118"/>
      <c r="G140" s="119"/>
      <c r="H140" s="160"/>
    </row>
    <row r="141" spans="1:8" s="120" customFormat="1" ht="24.95" customHeight="1">
      <c r="A141" s="116"/>
      <c r="B141" s="117"/>
      <c r="C141" s="114"/>
      <c r="D141" s="145"/>
      <c r="E141" s="115"/>
      <c r="F141" s="118"/>
      <c r="G141" s="119"/>
      <c r="H141" s="160"/>
    </row>
    <row r="142" spans="1:8" ht="24.95" customHeight="1">
      <c r="A142" s="10"/>
      <c r="B142" s="16">
        <v>182301102</v>
      </c>
      <c r="C142" s="12" t="s">
        <v>160</v>
      </c>
      <c r="D142" s="22">
        <f>D146</f>
        <v>208.99999999999994</v>
      </c>
      <c r="E142" s="23" t="s">
        <v>1</v>
      </c>
      <c r="F142" s="33"/>
      <c r="G142" s="32">
        <f>D142*F142</f>
        <v>0</v>
      </c>
      <c r="H142" s="159"/>
    </row>
    <row r="143" spans="1:8" s="120" customFormat="1" ht="24.95" customHeight="1">
      <c r="A143" s="116"/>
      <c r="B143" s="117"/>
      <c r="C143" s="96" t="s">
        <v>258</v>
      </c>
      <c r="D143" s="102">
        <f>D140</f>
        <v>930.115</v>
      </c>
      <c r="E143" s="97" t="s">
        <v>1</v>
      </c>
      <c r="F143" s="118"/>
      <c r="G143" s="119"/>
      <c r="H143" s="160"/>
    </row>
    <row r="144" spans="1:8" s="120" customFormat="1" ht="24.95" customHeight="1">
      <c r="A144" s="116"/>
      <c r="B144" s="117"/>
      <c r="C144" s="96" t="s">
        <v>257</v>
      </c>
      <c r="D144" s="102">
        <f>-D173</f>
        <v>-430.415</v>
      </c>
      <c r="E144" s="97" t="s">
        <v>1</v>
      </c>
      <c r="F144" s="118"/>
      <c r="G144" s="119"/>
      <c r="H144" s="160"/>
    </row>
    <row r="145" spans="1:8" s="120" customFormat="1" ht="24.95" customHeight="1">
      <c r="A145" s="116"/>
      <c r="B145" s="117"/>
      <c r="C145" s="96" t="s">
        <v>256</v>
      </c>
      <c r="D145" s="102">
        <f>-D216</f>
        <v>-290.70000000000005</v>
      </c>
      <c r="E145" s="97" t="s">
        <v>1</v>
      </c>
      <c r="F145" s="118"/>
      <c r="G145" s="119"/>
      <c r="H145" s="160"/>
    </row>
    <row r="146" spans="1:8" s="120" customFormat="1" ht="24.95" customHeight="1">
      <c r="A146" s="116"/>
      <c r="B146" s="117"/>
      <c r="C146" s="98" t="s">
        <v>41</v>
      </c>
      <c r="D146" s="99">
        <f>SUM(D143:D145)</f>
        <v>208.99999999999994</v>
      </c>
      <c r="E146" s="100" t="s">
        <v>1</v>
      </c>
      <c r="F146" s="118"/>
      <c r="G146" s="119"/>
      <c r="H146" s="160"/>
    </row>
    <row r="147" spans="1:8" s="120" customFormat="1" ht="24.95" customHeight="1">
      <c r="A147" s="121"/>
      <c r="B147" s="122"/>
      <c r="C147" s="123"/>
      <c r="D147" s="146"/>
      <c r="E147" s="123"/>
      <c r="F147" s="124"/>
      <c r="G147" s="125"/>
      <c r="H147" s="160"/>
    </row>
    <row r="148" spans="1:8" ht="24.95" customHeight="1">
      <c r="A148" s="10"/>
      <c r="B148" s="16" t="s">
        <v>274</v>
      </c>
      <c r="C148" s="12" t="s">
        <v>273</v>
      </c>
      <c r="D148" s="22">
        <f>D142</f>
        <v>208.99999999999994</v>
      </c>
      <c r="E148" s="23" t="s">
        <v>1</v>
      </c>
      <c r="F148" s="33"/>
      <c r="G148" s="32">
        <f>D148*F148</f>
        <v>0</v>
      </c>
      <c r="H148" s="159"/>
    </row>
    <row r="149" spans="1:8" ht="24.95" customHeight="1">
      <c r="A149" s="92"/>
      <c r="B149" s="49">
        <v>1</v>
      </c>
      <c r="C149" s="50" t="s">
        <v>78</v>
      </c>
      <c r="D149" s="51"/>
      <c r="E149" s="52"/>
      <c r="F149" s="53"/>
      <c r="G149" s="54">
        <f>SUM(G8:G148)</f>
        <v>0</v>
      </c>
      <c r="H149" s="158"/>
    </row>
    <row r="150" spans="1:8" ht="24.95" customHeight="1">
      <c r="A150" s="92"/>
      <c r="B150" s="49"/>
      <c r="C150" s="50"/>
      <c r="D150" s="51"/>
      <c r="E150" s="52"/>
      <c r="F150" s="53"/>
      <c r="G150" s="54"/>
      <c r="H150" s="158"/>
    </row>
    <row r="151" spans="1:8" ht="24.95" customHeight="1">
      <c r="A151" s="92"/>
      <c r="B151" s="49">
        <v>5</v>
      </c>
      <c r="C151" s="50" t="s">
        <v>7</v>
      </c>
      <c r="D151" s="51"/>
      <c r="E151" s="52"/>
      <c r="F151" s="53"/>
      <c r="G151" s="54"/>
      <c r="H151" s="158"/>
    </row>
    <row r="152" spans="1:12" s="8" customFormat="1" ht="24.95" customHeight="1">
      <c r="A152" s="13"/>
      <c r="B152" s="14" t="s">
        <v>296</v>
      </c>
      <c r="C152" s="15" t="s">
        <v>295</v>
      </c>
      <c r="D152" s="24">
        <f>D157</f>
        <v>322.50166666666655</v>
      </c>
      <c r="E152" s="25" t="s">
        <v>1</v>
      </c>
      <c r="F152" s="31"/>
      <c r="G152" s="32">
        <f>D152*F152</f>
        <v>0</v>
      </c>
      <c r="H152" s="159"/>
      <c r="K152" s="8">
        <v>0.18907</v>
      </c>
      <c r="L152" s="8">
        <f>D152*K152</f>
        <v>60.97539011666664</v>
      </c>
    </row>
    <row r="153" spans="1:8" s="8" customFormat="1" ht="24.95" customHeight="1">
      <c r="A153" s="13"/>
      <c r="B153" s="14" t="s">
        <v>297</v>
      </c>
      <c r="C153" s="15" t="s">
        <v>231</v>
      </c>
      <c r="D153" s="24">
        <f>D173</f>
        <v>430.415</v>
      </c>
      <c r="E153" s="25" t="s">
        <v>1</v>
      </c>
      <c r="F153" s="31"/>
      <c r="G153" s="32"/>
      <c r="H153" s="159"/>
    </row>
    <row r="154" spans="1:8" s="8" customFormat="1" ht="24.95" customHeight="1">
      <c r="A154" s="13"/>
      <c r="B154" s="14"/>
      <c r="C154" s="15" t="s">
        <v>232</v>
      </c>
      <c r="D154" s="24">
        <f>D216</f>
        <v>290.70000000000005</v>
      </c>
      <c r="E154" s="25" t="s">
        <v>1</v>
      </c>
      <c r="F154" s="31"/>
      <c r="G154" s="32"/>
      <c r="H154" s="159"/>
    </row>
    <row r="155" spans="1:8" s="8" customFormat="1" ht="24.95" customHeight="1">
      <c r="A155" s="13"/>
      <c r="B155" s="14"/>
      <c r="C155" s="133" t="s">
        <v>184</v>
      </c>
      <c r="D155" s="134">
        <f>SUM(D153:D154)</f>
        <v>721.115</v>
      </c>
      <c r="E155" s="135" t="s">
        <v>1</v>
      </c>
      <c r="F155" s="31"/>
      <c r="G155" s="32"/>
      <c r="H155" s="159"/>
    </row>
    <row r="156" spans="1:8" s="8" customFormat="1" ht="24.95" customHeight="1">
      <c r="A156" s="13"/>
      <c r="B156" s="14"/>
      <c r="C156" s="15" t="s">
        <v>289</v>
      </c>
      <c r="D156" s="24">
        <f>-597.92*0.666666666666667</f>
        <v>-398.61333333333346</v>
      </c>
      <c r="E156" s="25" t="s">
        <v>1</v>
      </c>
      <c r="F156" s="31"/>
      <c r="G156" s="32"/>
      <c r="H156" s="159"/>
    </row>
    <row r="157" spans="1:8" s="8" customFormat="1" ht="24.95" customHeight="1">
      <c r="A157" s="13"/>
      <c r="B157" s="14"/>
      <c r="C157" s="133" t="s">
        <v>41</v>
      </c>
      <c r="D157" s="134">
        <f>D155+D156</f>
        <v>322.50166666666655</v>
      </c>
      <c r="E157" s="135" t="s">
        <v>1</v>
      </c>
      <c r="F157" s="31"/>
      <c r="G157" s="32"/>
      <c r="H157" s="159"/>
    </row>
    <row r="158" spans="1:8" s="8" customFormat="1" ht="24.95" customHeight="1">
      <c r="A158" s="13"/>
      <c r="B158" s="14"/>
      <c r="C158" s="133"/>
      <c r="D158" s="134"/>
      <c r="E158" s="135"/>
      <c r="F158" s="31"/>
      <c r="G158" s="32"/>
      <c r="H158" s="159"/>
    </row>
    <row r="159" spans="1:12" s="8" customFormat="1" ht="24.95" customHeight="1">
      <c r="A159" s="13"/>
      <c r="B159" s="14" t="s">
        <v>201</v>
      </c>
      <c r="C159" s="15" t="s">
        <v>202</v>
      </c>
      <c r="D159" s="24">
        <f>D155</f>
        <v>721.115</v>
      </c>
      <c r="E159" s="25" t="s">
        <v>1</v>
      </c>
      <c r="F159" s="31"/>
      <c r="G159" s="32">
        <f>D159*F159</f>
        <v>0</v>
      </c>
      <c r="H159" s="159"/>
      <c r="K159" s="8">
        <v>0.0982</v>
      </c>
      <c r="L159" s="8">
        <f>D159*K159</f>
        <v>70.813493</v>
      </c>
    </row>
    <row r="160" spans="1:8" s="8" customFormat="1" ht="24.95" customHeight="1">
      <c r="A160" s="13"/>
      <c r="B160" s="14"/>
      <c r="C160" s="15"/>
      <c r="D160" s="24"/>
      <c r="E160" s="25"/>
      <c r="F160" s="31"/>
      <c r="G160" s="32"/>
      <c r="H160" s="159"/>
    </row>
    <row r="161" spans="1:12" s="8" customFormat="1" ht="24.95" customHeight="1">
      <c r="A161" s="13"/>
      <c r="B161" s="14" t="s">
        <v>96</v>
      </c>
      <c r="C161" s="15" t="s">
        <v>97</v>
      </c>
      <c r="D161" s="24">
        <f>D60</f>
        <v>1170.905</v>
      </c>
      <c r="E161" s="25" t="s">
        <v>1</v>
      </c>
      <c r="F161" s="31"/>
      <c r="G161" s="32">
        <f>D161*F161</f>
        <v>0</v>
      </c>
      <c r="H161" s="159"/>
      <c r="K161" s="8">
        <v>0.13188</v>
      </c>
      <c r="L161" s="8">
        <f>D161*K161</f>
        <v>154.4189514</v>
      </c>
    </row>
    <row r="162" spans="1:8" s="8" customFormat="1" ht="24.95" customHeight="1">
      <c r="A162" s="13"/>
      <c r="B162" s="14"/>
      <c r="C162" s="15"/>
      <c r="D162" s="24"/>
      <c r="E162" s="25"/>
      <c r="F162" s="31"/>
      <c r="G162" s="32"/>
      <c r="H162" s="159"/>
    </row>
    <row r="163" spans="1:12" s="8" customFormat="1" ht="24.95" customHeight="1">
      <c r="A163" s="13"/>
      <c r="B163" s="14" t="s">
        <v>98</v>
      </c>
      <c r="C163" s="15" t="s">
        <v>99</v>
      </c>
      <c r="D163" s="24">
        <f>D48</f>
        <v>185.22625</v>
      </c>
      <c r="E163" s="25" t="s">
        <v>1</v>
      </c>
      <c r="F163" s="31"/>
      <c r="G163" s="32">
        <f>D163*F163</f>
        <v>0</v>
      </c>
      <c r="H163" s="159"/>
      <c r="K163" s="8">
        <v>0.23009</v>
      </c>
      <c r="L163" s="8">
        <f>D163*K163</f>
        <v>42.618707862499996</v>
      </c>
    </row>
    <row r="164" spans="1:8" s="8" customFormat="1" ht="24.95" customHeight="1">
      <c r="A164" s="13"/>
      <c r="B164" s="14"/>
      <c r="C164" s="15"/>
      <c r="D164" s="24"/>
      <c r="E164" s="25"/>
      <c r="F164" s="31"/>
      <c r="G164" s="32"/>
      <c r="H164" s="159"/>
    </row>
    <row r="165" spans="1:12" s="8" customFormat="1" ht="24.95" customHeight="1">
      <c r="A165" s="13"/>
      <c r="B165" s="14" t="s">
        <v>309</v>
      </c>
      <c r="C165" s="15" t="s">
        <v>310</v>
      </c>
      <c r="D165" s="24">
        <f>-(D62+D63)</f>
        <v>430</v>
      </c>
      <c r="E165" s="25" t="s">
        <v>1</v>
      </c>
      <c r="F165" s="31"/>
      <c r="G165" s="32">
        <f>D165*F165</f>
        <v>0</v>
      </c>
      <c r="H165" s="159"/>
      <c r="K165" s="8">
        <v>0.13188</v>
      </c>
      <c r="L165" s="8">
        <f>D165*K165</f>
        <v>56.7084</v>
      </c>
    </row>
    <row r="166" spans="1:8" s="8" customFormat="1" ht="24.95" customHeight="1">
      <c r="A166" s="13"/>
      <c r="B166" s="14"/>
      <c r="C166" s="15"/>
      <c r="D166" s="24"/>
      <c r="E166" s="25"/>
      <c r="F166" s="31"/>
      <c r="G166" s="32"/>
      <c r="H166" s="159"/>
    </row>
    <row r="167" spans="1:12" s="8" customFormat="1" ht="24.95" customHeight="1">
      <c r="A167" s="13"/>
      <c r="B167" s="14" t="s">
        <v>100</v>
      </c>
      <c r="C167" s="15" t="s">
        <v>101</v>
      </c>
      <c r="D167" s="24">
        <f>D161</f>
        <v>1170.905</v>
      </c>
      <c r="E167" s="25" t="s">
        <v>1</v>
      </c>
      <c r="F167" s="31"/>
      <c r="G167" s="32">
        <f>D167*F167</f>
        <v>0</v>
      </c>
      <c r="H167" s="159"/>
      <c r="K167" s="8">
        <v>0.00753</v>
      </c>
      <c r="L167" s="8">
        <f>D167*K167</f>
        <v>8.81691465</v>
      </c>
    </row>
    <row r="168" spans="1:8" s="8" customFormat="1" ht="24.95" customHeight="1">
      <c r="A168" s="13"/>
      <c r="B168" s="14"/>
      <c r="C168" s="15"/>
      <c r="D168" s="24"/>
      <c r="E168" s="25"/>
      <c r="F168" s="31"/>
      <c r="G168" s="32"/>
      <c r="H168" s="159"/>
    </row>
    <row r="169" spans="1:12" s="8" customFormat="1" ht="24.95" customHeight="1">
      <c r="A169" s="13"/>
      <c r="B169" s="14" t="s">
        <v>8</v>
      </c>
      <c r="C169" s="15" t="s">
        <v>102</v>
      </c>
      <c r="D169" s="24">
        <f>D161</f>
        <v>1170.905</v>
      </c>
      <c r="E169" s="25" t="s">
        <v>1</v>
      </c>
      <c r="F169" s="31"/>
      <c r="G169" s="32">
        <f>D169*F169</f>
        <v>0</v>
      </c>
      <c r="H169" s="159"/>
      <c r="K169" s="8">
        <v>0.00061</v>
      </c>
      <c r="L169" s="8">
        <f>D169*K169</f>
        <v>0.7142520499999999</v>
      </c>
    </row>
    <row r="170" spans="1:8" s="8" customFormat="1" ht="24.95" customHeight="1">
      <c r="A170" s="13"/>
      <c r="B170" s="14"/>
      <c r="C170" s="15"/>
      <c r="D170" s="24"/>
      <c r="E170" s="25"/>
      <c r="F170" s="31"/>
      <c r="G170" s="32"/>
      <c r="H170" s="159"/>
    </row>
    <row r="171" spans="1:12" s="8" customFormat="1" ht="24.95" customHeight="1">
      <c r="A171" s="13"/>
      <c r="B171" s="14" t="s">
        <v>103</v>
      </c>
      <c r="C171" s="15" t="s">
        <v>104</v>
      </c>
      <c r="D171" s="24">
        <f>D161</f>
        <v>1170.905</v>
      </c>
      <c r="E171" s="25" t="s">
        <v>1</v>
      </c>
      <c r="F171" s="31"/>
      <c r="G171" s="32">
        <f>D171*F171</f>
        <v>0</v>
      </c>
      <c r="H171" s="159"/>
      <c r="K171" s="8">
        <v>0.12966</v>
      </c>
      <c r="L171" s="8">
        <f>D171*K171</f>
        <v>151.8195423</v>
      </c>
    </row>
    <row r="172" spans="1:8" s="8" customFormat="1" ht="24.95" customHeight="1">
      <c r="A172" s="13"/>
      <c r="B172" s="14"/>
      <c r="C172" s="15"/>
      <c r="D172" s="24"/>
      <c r="E172" s="25"/>
      <c r="F172" s="31"/>
      <c r="G172" s="32"/>
      <c r="H172" s="159"/>
    </row>
    <row r="173" spans="1:12" s="8" customFormat="1" ht="24.95" customHeight="1">
      <c r="A173" s="13"/>
      <c r="B173" s="14" t="s">
        <v>285</v>
      </c>
      <c r="C173" s="15" t="s">
        <v>286</v>
      </c>
      <c r="D173" s="24">
        <f>D211</f>
        <v>430.415</v>
      </c>
      <c r="E173" s="25" t="s">
        <v>1</v>
      </c>
      <c r="F173" s="31"/>
      <c r="G173" s="32">
        <f>D173*F173</f>
        <v>0</v>
      </c>
      <c r="H173" s="159"/>
      <c r="K173" s="8">
        <v>0.08425</v>
      </c>
      <c r="L173" s="8">
        <f>D173*K173</f>
        <v>36.26246375</v>
      </c>
    </row>
    <row r="174" spans="1:8" s="8" customFormat="1" ht="24.95" customHeight="1">
      <c r="A174" s="13"/>
      <c r="B174" s="14"/>
      <c r="C174" s="129" t="s">
        <v>36</v>
      </c>
      <c r="D174" s="130"/>
      <c r="E174" s="131"/>
      <c r="F174" s="31"/>
      <c r="G174" s="32"/>
      <c r="H174" s="159"/>
    </row>
    <row r="175" spans="1:8" s="8" customFormat="1" ht="24.95" customHeight="1">
      <c r="A175" s="13"/>
      <c r="B175" s="14"/>
      <c r="C175" s="96" t="s">
        <v>236</v>
      </c>
      <c r="D175" s="102">
        <f>1.9*(68.2+72.2)/2</f>
        <v>133.38</v>
      </c>
      <c r="E175" s="97" t="s">
        <v>1</v>
      </c>
      <c r="F175" s="31"/>
      <c r="G175" s="32"/>
      <c r="H175" s="159"/>
    </row>
    <row r="176" spans="1:8" s="8" customFormat="1" ht="24.95" customHeight="1">
      <c r="A176" s="13"/>
      <c r="B176" s="14"/>
      <c r="C176" s="96" t="s">
        <v>237</v>
      </c>
      <c r="D176" s="102">
        <f>1.9*(69.1+72.2)/2</f>
        <v>134.235</v>
      </c>
      <c r="E176" s="97" t="s">
        <v>1</v>
      </c>
      <c r="F176" s="31"/>
      <c r="G176" s="32"/>
      <c r="H176" s="159"/>
    </row>
    <row r="177" spans="1:8" s="8" customFormat="1" ht="24.95" customHeight="1">
      <c r="A177" s="13"/>
      <c r="B177" s="14"/>
      <c r="C177" s="96" t="s">
        <v>259</v>
      </c>
      <c r="D177" s="102">
        <f>1.9*10</f>
        <v>19</v>
      </c>
      <c r="E177" s="97" t="s">
        <v>1</v>
      </c>
      <c r="F177" s="31"/>
      <c r="G177" s="32"/>
      <c r="H177" s="159"/>
    </row>
    <row r="178" spans="1:8" s="8" customFormat="1" ht="24.95" customHeight="1">
      <c r="A178" s="13"/>
      <c r="B178" s="14"/>
      <c r="C178" s="133" t="s">
        <v>82</v>
      </c>
      <c r="D178" s="134">
        <f>SUM(D175:D177)</f>
        <v>286.615</v>
      </c>
      <c r="E178" s="135" t="s">
        <v>1</v>
      </c>
      <c r="F178" s="31"/>
      <c r="G178" s="32"/>
      <c r="H178" s="159"/>
    </row>
    <row r="179" spans="1:8" s="8" customFormat="1" ht="24.95" customHeight="1">
      <c r="A179" s="13"/>
      <c r="B179" s="14"/>
      <c r="C179" s="132" t="s">
        <v>215</v>
      </c>
      <c r="D179" s="130"/>
      <c r="E179" s="131"/>
      <c r="F179" s="31"/>
      <c r="G179" s="32"/>
      <c r="H179" s="159"/>
    </row>
    <row r="180" spans="1:8" s="8" customFormat="1" ht="24.95" customHeight="1">
      <c r="A180" s="13"/>
      <c r="B180" s="14"/>
      <c r="C180" s="132" t="s">
        <v>216</v>
      </c>
      <c r="D180" s="130">
        <f>-1.9*(5+2*1)</f>
        <v>-13.299999999999999</v>
      </c>
      <c r="E180" s="131" t="s">
        <v>1</v>
      </c>
      <c r="F180" s="31"/>
      <c r="G180" s="32"/>
      <c r="H180" s="159"/>
    </row>
    <row r="181" spans="1:8" s="8" customFormat="1" ht="24.95" customHeight="1">
      <c r="A181" s="13"/>
      <c r="B181" s="14"/>
      <c r="C181" s="132" t="s">
        <v>218</v>
      </c>
      <c r="D181" s="130">
        <f>-1.9*(2*1+2.5)</f>
        <v>-8.549999999999999</v>
      </c>
      <c r="E181" s="131" t="s">
        <v>1</v>
      </c>
      <c r="F181" s="31"/>
      <c r="G181" s="32"/>
      <c r="H181" s="159"/>
    </row>
    <row r="182" spans="1:8" s="8" customFormat="1" ht="24.95" customHeight="1">
      <c r="A182" s="13"/>
      <c r="B182" s="14"/>
      <c r="C182" s="132" t="s">
        <v>217</v>
      </c>
      <c r="D182" s="130">
        <f>-1.9*1.2*0</f>
        <v>0</v>
      </c>
      <c r="E182" s="131" t="s">
        <v>1</v>
      </c>
      <c r="F182" s="31"/>
      <c r="G182" s="32"/>
      <c r="H182" s="159"/>
    </row>
    <row r="183" spans="1:8" s="8" customFormat="1" ht="24.95" customHeight="1">
      <c r="A183" s="13"/>
      <c r="B183" s="14"/>
      <c r="C183" s="132" t="s">
        <v>219</v>
      </c>
      <c r="D183" s="130">
        <f>-1.9*(3.5+2*1)</f>
        <v>-10.45</v>
      </c>
      <c r="E183" s="131" t="s">
        <v>1</v>
      </c>
      <c r="F183" s="31"/>
      <c r="G183" s="32"/>
      <c r="H183" s="159"/>
    </row>
    <row r="184" spans="1:8" s="8" customFormat="1" ht="24.95" customHeight="1">
      <c r="A184" s="13"/>
      <c r="B184" s="14"/>
      <c r="C184" s="132" t="s">
        <v>220</v>
      </c>
      <c r="D184" s="130">
        <f>-1.9*(4+2*1)</f>
        <v>-11.399999999999999</v>
      </c>
      <c r="E184" s="131" t="s">
        <v>1</v>
      </c>
      <c r="F184" s="31"/>
      <c r="G184" s="32"/>
      <c r="H184" s="159"/>
    </row>
    <row r="185" spans="1:8" s="8" customFormat="1" ht="24.95" customHeight="1">
      <c r="A185" s="13"/>
      <c r="B185" s="14"/>
      <c r="C185" s="132" t="s">
        <v>221</v>
      </c>
      <c r="D185" s="130">
        <f>-1.9*1.6*0</f>
        <v>0</v>
      </c>
      <c r="E185" s="131" t="s">
        <v>1</v>
      </c>
      <c r="F185" s="31"/>
      <c r="G185" s="32"/>
      <c r="H185" s="159"/>
    </row>
    <row r="186" spans="1:8" s="8" customFormat="1" ht="24.95" customHeight="1">
      <c r="A186" s="13"/>
      <c r="B186" s="14"/>
      <c r="C186" s="132" t="s">
        <v>222</v>
      </c>
      <c r="D186" s="130">
        <f>-1.9*(6+2*1)</f>
        <v>-15.2</v>
      </c>
      <c r="E186" s="131" t="s">
        <v>1</v>
      </c>
      <c r="F186" s="31"/>
      <c r="G186" s="32"/>
      <c r="H186" s="159"/>
    </row>
    <row r="187" spans="1:8" s="8" customFormat="1" ht="24.95" customHeight="1">
      <c r="A187" s="13"/>
      <c r="B187" s="14"/>
      <c r="C187" s="132" t="s">
        <v>223</v>
      </c>
      <c r="D187" s="130">
        <f>-1.9*(3+2*1)</f>
        <v>-9.5</v>
      </c>
      <c r="E187" s="131" t="s">
        <v>1</v>
      </c>
      <c r="F187" s="31"/>
      <c r="G187" s="32"/>
      <c r="H187" s="159"/>
    </row>
    <row r="188" spans="1:8" s="8" customFormat="1" ht="24.95" customHeight="1">
      <c r="A188" s="13"/>
      <c r="B188" s="14"/>
      <c r="C188" s="133" t="s">
        <v>224</v>
      </c>
      <c r="D188" s="134">
        <f>SUM(D180:D187)</f>
        <v>-68.39999999999999</v>
      </c>
      <c r="E188" s="135" t="s">
        <v>1</v>
      </c>
      <c r="F188" s="31"/>
      <c r="G188" s="32"/>
      <c r="H188" s="159"/>
    </row>
    <row r="189" spans="1:8" s="8" customFormat="1" ht="24.95" customHeight="1">
      <c r="A189" s="13"/>
      <c r="B189" s="14"/>
      <c r="C189" s="133" t="s">
        <v>82</v>
      </c>
      <c r="D189" s="134">
        <f>D178+D188</f>
        <v>218.21500000000003</v>
      </c>
      <c r="E189" s="135" t="s">
        <v>1</v>
      </c>
      <c r="F189" s="31"/>
      <c r="G189" s="32"/>
      <c r="H189" s="159"/>
    </row>
    <row r="190" spans="1:8" s="8" customFormat="1" ht="24.95" customHeight="1">
      <c r="A190" s="13"/>
      <c r="B190" s="14"/>
      <c r="C190" s="129" t="s">
        <v>37</v>
      </c>
      <c r="D190" s="130"/>
      <c r="E190" s="131"/>
      <c r="F190" s="31"/>
      <c r="G190" s="32"/>
      <c r="H190" s="159"/>
    </row>
    <row r="191" spans="1:8" s="8" customFormat="1" ht="24.95" customHeight="1">
      <c r="A191" s="13"/>
      <c r="B191" s="14"/>
      <c r="C191" s="132" t="s">
        <v>238</v>
      </c>
      <c r="D191" s="130">
        <f>1.9*133</f>
        <v>252.7</v>
      </c>
      <c r="E191" s="131" t="s">
        <v>1</v>
      </c>
      <c r="F191" s="31"/>
      <c r="G191" s="32"/>
      <c r="H191" s="159"/>
    </row>
    <row r="192" spans="1:8" s="8" customFormat="1" ht="24.95" customHeight="1">
      <c r="A192" s="13"/>
      <c r="B192" s="14"/>
      <c r="C192" s="132" t="s">
        <v>264</v>
      </c>
      <c r="D192" s="130">
        <f>1.9*32</f>
        <v>60.8</v>
      </c>
      <c r="E192" s="131" t="s">
        <v>1</v>
      </c>
      <c r="F192" s="31"/>
      <c r="G192" s="32"/>
      <c r="H192" s="159"/>
    </row>
    <row r="193" spans="1:8" s="8" customFormat="1" ht="24.95" customHeight="1">
      <c r="A193" s="13"/>
      <c r="B193" s="14"/>
      <c r="C193" s="133" t="s">
        <v>226</v>
      </c>
      <c r="D193" s="134">
        <f>SUM(D191:D192)</f>
        <v>313.5</v>
      </c>
      <c r="E193" s="135" t="s">
        <v>1</v>
      </c>
      <c r="F193" s="31"/>
      <c r="G193" s="32"/>
      <c r="H193" s="159"/>
    </row>
    <row r="194" spans="1:8" s="8" customFormat="1" ht="24.95" customHeight="1">
      <c r="A194" s="13"/>
      <c r="B194" s="14"/>
      <c r="C194" s="132" t="s">
        <v>214</v>
      </c>
      <c r="D194" s="130"/>
      <c r="E194" s="131"/>
      <c r="F194" s="31"/>
      <c r="G194" s="32"/>
      <c r="H194" s="159"/>
    </row>
    <row r="195" spans="1:8" s="8" customFormat="1" ht="24.95" customHeight="1">
      <c r="A195" s="13"/>
      <c r="B195" s="14"/>
      <c r="C195" s="132" t="s">
        <v>190</v>
      </c>
      <c r="D195" s="130">
        <v>4</v>
      </c>
      <c r="E195" s="131" t="s">
        <v>1</v>
      </c>
      <c r="F195" s="31"/>
      <c r="G195" s="32"/>
      <c r="H195" s="159"/>
    </row>
    <row r="196" spans="1:8" s="8" customFormat="1" ht="24.95" customHeight="1">
      <c r="A196" s="13"/>
      <c r="B196" s="14"/>
      <c r="C196" s="132" t="s">
        <v>195</v>
      </c>
      <c r="D196" s="130">
        <f>2*1.5</f>
        <v>3</v>
      </c>
      <c r="E196" s="131" t="s">
        <v>1</v>
      </c>
      <c r="F196" s="31"/>
      <c r="G196" s="32"/>
      <c r="H196" s="159"/>
    </row>
    <row r="197" spans="1:8" s="8" customFormat="1" ht="24.95" customHeight="1">
      <c r="A197" s="13"/>
      <c r="B197" s="14"/>
      <c r="C197" s="133" t="s">
        <v>205</v>
      </c>
      <c r="D197" s="134">
        <f>SUM(D195:D196)</f>
        <v>7</v>
      </c>
      <c r="E197" s="135" t="s">
        <v>1</v>
      </c>
      <c r="F197" s="31"/>
      <c r="G197" s="32"/>
      <c r="H197" s="159"/>
    </row>
    <row r="198" spans="1:8" s="8" customFormat="1" ht="24.95" customHeight="1">
      <c r="A198" s="13"/>
      <c r="B198" s="14"/>
      <c r="C198" s="132" t="s">
        <v>227</v>
      </c>
      <c r="D198" s="130"/>
      <c r="E198" s="131"/>
      <c r="F198" s="31"/>
      <c r="G198" s="32"/>
      <c r="H198" s="159"/>
    </row>
    <row r="199" spans="1:8" s="8" customFormat="1" ht="24.95" customHeight="1">
      <c r="A199" s="13"/>
      <c r="B199" s="14"/>
      <c r="C199" s="132" t="s">
        <v>206</v>
      </c>
      <c r="D199" s="130"/>
      <c r="E199" s="131"/>
      <c r="F199" s="31"/>
      <c r="G199" s="32"/>
      <c r="H199" s="159"/>
    </row>
    <row r="200" spans="1:8" s="8" customFormat="1" ht="24.95" customHeight="1">
      <c r="A200" s="13"/>
      <c r="B200" s="14"/>
      <c r="C200" s="132" t="s">
        <v>207</v>
      </c>
      <c r="D200" s="130">
        <f>-1.9*(4.5+2*1)</f>
        <v>-12.35</v>
      </c>
      <c r="E200" s="131" t="s">
        <v>1</v>
      </c>
      <c r="F200" s="31"/>
      <c r="G200" s="32"/>
      <c r="H200" s="159"/>
    </row>
    <row r="201" spans="1:8" s="8" customFormat="1" ht="24.95" customHeight="1">
      <c r="A201" s="13"/>
      <c r="B201" s="14"/>
      <c r="C201" s="132" t="s">
        <v>208</v>
      </c>
      <c r="D201" s="130">
        <f>-1.9*(5.5+2*1)</f>
        <v>-14.25</v>
      </c>
      <c r="E201" s="131" t="s">
        <v>1</v>
      </c>
      <c r="F201" s="31"/>
      <c r="G201" s="32"/>
      <c r="H201" s="159"/>
    </row>
    <row r="202" spans="1:8" s="8" customFormat="1" ht="24.95" customHeight="1">
      <c r="A202" s="13"/>
      <c r="B202" s="14"/>
      <c r="C202" s="132" t="s">
        <v>209</v>
      </c>
      <c r="D202" s="130">
        <f>-1.9*(4+2*1)</f>
        <v>-11.399999999999999</v>
      </c>
      <c r="E202" s="131" t="s">
        <v>1</v>
      </c>
      <c r="F202" s="31"/>
      <c r="G202" s="32"/>
      <c r="H202" s="159"/>
    </row>
    <row r="203" spans="1:8" s="8" customFormat="1" ht="24.95" customHeight="1">
      <c r="A203" s="13"/>
      <c r="B203" s="14"/>
      <c r="C203" s="132" t="s">
        <v>242</v>
      </c>
      <c r="D203" s="130">
        <f>-1.9*(4+2*1)</f>
        <v>-11.399999999999999</v>
      </c>
      <c r="E203" s="131" t="s">
        <v>1</v>
      </c>
      <c r="F203" s="31"/>
      <c r="G203" s="32"/>
      <c r="H203" s="159"/>
    </row>
    <row r="204" spans="1:8" s="8" customFormat="1" ht="24.95" customHeight="1">
      <c r="A204" s="13"/>
      <c r="B204" s="14"/>
      <c r="C204" s="132" t="s">
        <v>211</v>
      </c>
      <c r="D204" s="130">
        <f>-1.9*(4+2*1)</f>
        <v>-11.399999999999999</v>
      </c>
      <c r="E204" s="131" t="s">
        <v>1</v>
      </c>
      <c r="F204" s="31"/>
      <c r="G204" s="32"/>
      <c r="H204" s="159"/>
    </row>
    <row r="205" spans="1:8" s="8" customFormat="1" ht="24.95" customHeight="1">
      <c r="A205" s="13"/>
      <c r="B205" s="14"/>
      <c r="C205" s="132" t="s">
        <v>212</v>
      </c>
      <c r="D205" s="130">
        <f>-1.9*(5+2*1)</f>
        <v>-13.299999999999999</v>
      </c>
      <c r="E205" s="131" t="s">
        <v>1</v>
      </c>
      <c r="F205" s="31"/>
      <c r="G205" s="32"/>
      <c r="H205" s="159"/>
    </row>
    <row r="206" spans="1:8" s="8" customFormat="1" ht="24.95" customHeight="1">
      <c r="A206" s="13"/>
      <c r="B206" s="14"/>
      <c r="C206" s="132" t="s">
        <v>213</v>
      </c>
      <c r="D206" s="130">
        <f>-1.9*(4+2*1)</f>
        <v>-11.399999999999999</v>
      </c>
      <c r="E206" s="131" t="s">
        <v>1</v>
      </c>
      <c r="F206" s="31"/>
      <c r="G206" s="32"/>
      <c r="H206" s="159"/>
    </row>
    <row r="207" spans="1:8" s="8" customFormat="1" ht="24.95" customHeight="1">
      <c r="A207" s="13"/>
      <c r="B207" s="14"/>
      <c r="C207" s="132" t="s">
        <v>230</v>
      </c>
      <c r="D207" s="130">
        <f>-1.9*5</f>
        <v>-9.5</v>
      </c>
      <c r="E207" s="131" t="s">
        <v>1</v>
      </c>
      <c r="F207" s="31"/>
      <c r="G207" s="32"/>
      <c r="H207" s="159"/>
    </row>
    <row r="208" spans="1:8" s="8" customFormat="1" ht="24.95" customHeight="1">
      <c r="A208" s="13"/>
      <c r="B208" s="14"/>
      <c r="C208" s="132" t="s">
        <v>228</v>
      </c>
      <c r="D208" s="130">
        <f>-1.9*7</f>
        <v>-13.299999999999999</v>
      </c>
      <c r="E208" s="131" t="s">
        <v>1</v>
      </c>
      <c r="F208" s="31"/>
      <c r="G208" s="32"/>
      <c r="H208" s="159"/>
    </row>
    <row r="209" spans="1:8" s="8" customFormat="1" ht="24.95" customHeight="1">
      <c r="A209" s="13"/>
      <c r="B209" s="14"/>
      <c r="C209" s="133" t="s">
        <v>225</v>
      </c>
      <c r="D209" s="134">
        <f>SUM(D199:D208)</f>
        <v>-108.3</v>
      </c>
      <c r="E209" s="135" t="s">
        <v>1</v>
      </c>
      <c r="F209" s="31"/>
      <c r="G209" s="32"/>
      <c r="H209" s="159"/>
    </row>
    <row r="210" spans="1:8" s="8" customFormat="1" ht="24.95" customHeight="1">
      <c r="A210" s="13"/>
      <c r="B210" s="14"/>
      <c r="C210" s="133" t="s">
        <v>229</v>
      </c>
      <c r="D210" s="134">
        <f>D193+D197+D209</f>
        <v>212.2</v>
      </c>
      <c r="E210" s="135" t="s">
        <v>1</v>
      </c>
      <c r="F210" s="31"/>
      <c r="G210" s="32"/>
      <c r="H210" s="159"/>
    </row>
    <row r="211" spans="1:8" s="8" customFormat="1" ht="24.75" customHeight="1">
      <c r="A211" s="13"/>
      <c r="B211" s="14"/>
      <c r="C211" s="133" t="s">
        <v>41</v>
      </c>
      <c r="D211" s="134">
        <f>D210+D189</f>
        <v>430.415</v>
      </c>
      <c r="E211" s="135" t="s">
        <v>1</v>
      </c>
      <c r="F211" s="31"/>
      <c r="G211" s="32"/>
      <c r="H211" s="159"/>
    </row>
    <row r="212" spans="1:8" s="8" customFormat="1" ht="24.95" customHeight="1">
      <c r="A212" s="13"/>
      <c r="B212" s="14"/>
      <c r="C212" s="15"/>
      <c r="D212" s="24"/>
      <c r="E212" s="25"/>
      <c r="F212" s="31"/>
      <c r="G212" s="32"/>
      <c r="H212" s="159"/>
    </row>
    <row r="213" spans="1:12" s="8" customFormat="1" ht="24.95" customHeight="1">
      <c r="A213" s="13"/>
      <c r="B213" s="14" t="s">
        <v>19</v>
      </c>
      <c r="C213" s="15" t="s">
        <v>20</v>
      </c>
      <c r="D213" s="24">
        <f>D214</f>
        <v>439.0233</v>
      </c>
      <c r="E213" s="25" t="s">
        <v>1</v>
      </c>
      <c r="F213" s="31"/>
      <c r="G213" s="32">
        <f>D213*F213</f>
        <v>0</v>
      </c>
      <c r="H213" s="159"/>
      <c r="K213" s="8">
        <f>127.7/1000</f>
        <v>0.1277</v>
      </c>
      <c r="L213" s="8">
        <f>D213*K213</f>
        <v>56.06327541</v>
      </c>
    </row>
    <row r="214" spans="1:8" s="8" customFormat="1" ht="24.95" customHeight="1">
      <c r="A214" s="13"/>
      <c r="B214" s="14"/>
      <c r="C214" s="133" t="s">
        <v>303</v>
      </c>
      <c r="D214" s="134">
        <f>D173*1.02</f>
        <v>439.0233</v>
      </c>
      <c r="E214" s="135" t="s">
        <v>1</v>
      </c>
      <c r="F214" s="31"/>
      <c r="G214" s="32"/>
      <c r="H214" s="159"/>
    </row>
    <row r="215" spans="1:8" s="8" customFormat="1" ht="24.95" customHeight="1">
      <c r="A215" s="13"/>
      <c r="B215" s="14"/>
      <c r="C215" s="15"/>
      <c r="D215" s="24"/>
      <c r="E215" s="25"/>
      <c r="F215" s="31"/>
      <c r="G215" s="32"/>
      <c r="H215" s="159"/>
    </row>
    <row r="216" spans="1:12" s="8" customFormat="1" ht="24.95" customHeight="1">
      <c r="A216" s="13"/>
      <c r="B216" s="14" t="s">
        <v>287</v>
      </c>
      <c r="C216" s="15" t="s">
        <v>288</v>
      </c>
      <c r="D216" s="24">
        <f>D236</f>
        <v>290.70000000000005</v>
      </c>
      <c r="E216" s="25" t="s">
        <v>1</v>
      </c>
      <c r="F216" s="31"/>
      <c r="G216" s="32">
        <f>D216*F216</f>
        <v>0</v>
      </c>
      <c r="H216" s="159"/>
      <c r="K216" s="8">
        <v>0.08565</v>
      </c>
      <c r="L216" s="8">
        <f>D216*K216</f>
        <v>24.898455000000006</v>
      </c>
    </row>
    <row r="217" spans="1:8" s="8" customFormat="1" ht="24.95" customHeight="1">
      <c r="A217" s="13"/>
      <c r="B217" s="14"/>
      <c r="C217" s="132" t="s">
        <v>233</v>
      </c>
      <c r="D217" s="130"/>
      <c r="E217" s="131"/>
      <c r="F217" s="31"/>
      <c r="G217" s="32"/>
      <c r="H217" s="159"/>
    </row>
    <row r="218" spans="1:8" s="8" customFormat="1" ht="24.95" customHeight="1">
      <c r="A218" s="13"/>
      <c r="B218" s="14"/>
      <c r="C218" s="132" t="s">
        <v>216</v>
      </c>
      <c r="D218" s="130">
        <f>1.9*(5+2*1)</f>
        <v>13.299999999999999</v>
      </c>
      <c r="E218" s="131" t="s">
        <v>1</v>
      </c>
      <c r="F218" s="31"/>
      <c r="G218" s="32"/>
      <c r="H218" s="159"/>
    </row>
    <row r="219" spans="1:8" s="8" customFormat="1" ht="24.95" customHeight="1">
      <c r="A219" s="13"/>
      <c r="B219" s="14"/>
      <c r="C219" s="132" t="s">
        <v>218</v>
      </c>
      <c r="D219" s="130">
        <f>1.9*(2*1+2.5)</f>
        <v>8.549999999999999</v>
      </c>
      <c r="E219" s="131" t="s">
        <v>1</v>
      </c>
      <c r="F219" s="31"/>
      <c r="G219" s="32"/>
      <c r="H219" s="159"/>
    </row>
    <row r="220" spans="1:8" s="8" customFormat="1" ht="24.95" customHeight="1">
      <c r="A220" s="13"/>
      <c r="B220" s="14"/>
      <c r="C220" s="132" t="s">
        <v>219</v>
      </c>
      <c r="D220" s="130">
        <f>1.9*(3.5+2*1)</f>
        <v>10.45</v>
      </c>
      <c r="E220" s="131" t="s">
        <v>1</v>
      </c>
      <c r="F220" s="31"/>
      <c r="G220" s="32"/>
      <c r="H220" s="159"/>
    </row>
    <row r="221" spans="1:8" s="8" customFormat="1" ht="24.95" customHeight="1">
      <c r="A221" s="13"/>
      <c r="B221" s="14"/>
      <c r="C221" s="132" t="s">
        <v>220</v>
      </c>
      <c r="D221" s="130">
        <f>1.9*(4+2*1)</f>
        <v>11.399999999999999</v>
      </c>
      <c r="E221" s="131" t="s">
        <v>1</v>
      </c>
      <c r="F221" s="31"/>
      <c r="G221" s="32"/>
      <c r="H221" s="159"/>
    </row>
    <row r="222" spans="1:8" s="8" customFormat="1" ht="24.95" customHeight="1">
      <c r="A222" s="13"/>
      <c r="B222" s="14"/>
      <c r="C222" s="132" t="s">
        <v>222</v>
      </c>
      <c r="D222" s="130">
        <f>1.9*(6+2*1)</f>
        <v>15.2</v>
      </c>
      <c r="E222" s="131" t="s">
        <v>1</v>
      </c>
      <c r="F222" s="31"/>
      <c r="G222" s="32"/>
      <c r="H222" s="159"/>
    </row>
    <row r="223" spans="1:8" s="8" customFormat="1" ht="24.95" customHeight="1">
      <c r="A223" s="13"/>
      <c r="B223" s="14"/>
      <c r="C223" s="132" t="s">
        <v>223</v>
      </c>
      <c r="D223" s="130">
        <f>1.9*(3+2*1)</f>
        <v>9.5</v>
      </c>
      <c r="E223" s="131" t="s">
        <v>1</v>
      </c>
      <c r="F223" s="31"/>
      <c r="G223" s="32"/>
      <c r="H223" s="159"/>
    </row>
    <row r="224" spans="1:8" s="8" customFormat="1" ht="24.95" customHeight="1">
      <c r="A224" s="13"/>
      <c r="B224" s="14"/>
      <c r="C224" s="133" t="s">
        <v>234</v>
      </c>
      <c r="D224" s="134">
        <f>SUM(D218:D223)</f>
        <v>68.39999999999999</v>
      </c>
      <c r="E224" s="135" t="s">
        <v>1</v>
      </c>
      <c r="F224" s="31"/>
      <c r="G224" s="32"/>
      <c r="H224" s="159"/>
    </row>
    <row r="225" spans="1:8" s="8" customFormat="1" ht="24.95" customHeight="1">
      <c r="A225" s="13"/>
      <c r="B225" s="14"/>
      <c r="C225" s="132" t="s">
        <v>235</v>
      </c>
      <c r="D225" s="130"/>
      <c r="E225" s="131"/>
      <c r="F225" s="31"/>
      <c r="G225" s="32"/>
      <c r="H225" s="159"/>
    </row>
    <row r="226" spans="1:8" s="8" customFormat="1" ht="24.95" customHeight="1">
      <c r="A226" s="13"/>
      <c r="B226" s="14"/>
      <c r="C226" s="132" t="s">
        <v>207</v>
      </c>
      <c r="D226" s="130">
        <f>3.9*(4.5+2*1)</f>
        <v>25.349999999999998</v>
      </c>
      <c r="E226" s="131" t="s">
        <v>1</v>
      </c>
      <c r="F226" s="31"/>
      <c r="G226" s="32"/>
      <c r="H226" s="159"/>
    </row>
    <row r="227" spans="1:8" s="8" customFormat="1" ht="24.95" customHeight="1">
      <c r="A227" s="13"/>
      <c r="B227" s="14"/>
      <c r="C227" s="132" t="s">
        <v>208</v>
      </c>
      <c r="D227" s="130">
        <f>3.9*(5.5+2*1)</f>
        <v>29.25</v>
      </c>
      <c r="E227" s="131" t="s">
        <v>1</v>
      </c>
      <c r="F227" s="31"/>
      <c r="G227" s="32"/>
      <c r="H227" s="159"/>
    </row>
    <row r="228" spans="1:8" s="8" customFormat="1" ht="24.95" customHeight="1">
      <c r="A228" s="13"/>
      <c r="B228" s="14"/>
      <c r="C228" s="132" t="s">
        <v>209</v>
      </c>
      <c r="D228" s="130">
        <f>3.9*(4+2*1)</f>
        <v>23.4</v>
      </c>
      <c r="E228" s="131" t="s">
        <v>1</v>
      </c>
      <c r="F228" s="31"/>
      <c r="G228" s="32"/>
      <c r="H228" s="159"/>
    </row>
    <row r="229" spans="1:8" s="8" customFormat="1" ht="24.95" customHeight="1">
      <c r="A229" s="13"/>
      <c r="B229" s="14"/>
      <c r="C229" s="132" t="s">
        <v>210</v>
      </c>
      <c r="D229" s="130">
        <f>3.9*(4+2*1)</f>
        <v>23.4</v>
      </c>
      <c r="E229" s="131" t="s">
        <v>1</v>
      </c>
      <c r="F229" s="31"/>
      <c r="G229" s="32"/>
      <c r="H229" s="159"/>
    </row>
    <row r="230" spans="1:8" s="8" customFormat="1" ht="24.95" customHeight="1">
      <c r="A230" s="13"/>
      <c r="B230" s="14"/>
      <c r="C230" s="132" t="s">
        <v>211</v>
      </c>
      <c r="D230" s="130">
        <f>3.9*(4+2*1)</f>
        <v>23.4</v>
      </c>
      <c r="E230" s="131" t="s">
        <v>1</v>
      </c>
      <c r="F230" s="31"/>
      <c r="G230" s="32"/>
      <c r="H230" s="159"/>
    </row>
    <row r="231" spans="1:8" s="8" customFormat="1" ht="24.95" customHeight="1">
      <c r="A231" s="13"/>
      <c r="B231" s="14"/>
      <c r="C231" s="132" t="s">
        <v>212</v>
      </c>
      <c r="D231" s="130">
        <f>3.9*(5+2*1)</f>
        <v>27.3</v>
      </c>
      <c r="E231" s="131" t="s">
        <v>1</v>
      </c>
      <c r="F231" s="31"/>
      <c r="G231" s="32"/>
      <c r="H231" s="159"/>
    </row>
    <row r="232" spans="1:8" s="8" customFormat="1" ht="24.95" customHeight="1">
      <c r="A232" s="13"/>
      <c r="B232" s="14"/>
      <c r="C232" s="132" t="s">
        <v>213</v>
      </c>
      <c r="D232" s="130">
        <f>3.9*(4+2*1)</f>
        <v>23.4</v>
      </c>
      <c r="E232" s="131" t="s">
        <v>1</v>
      </c>
      <c r="F232" s="31"/>
      <c r="G232" s="32"/>
      <c r="H232" s="159"/>
    </row>
    <row r="233" spans="1:8" s="8" customFormat="1" ht="24.95" customHeight="1">
      <c r="A233" s="13"/>
      <c r="B233" s="14"/>
      <c r="C233" s="132" t="s">
        <v>243</v>
      </c>
      <c r="D233" s="130">
        <f>3.9*5</f>
        <v>19.5</v>
      </c>
      <c r="E233" s="131" t="s">
        <v>1</v>
      </c>
      <c r="F233" s="31"/>
      <c r="G233" s="32"/>
      <c r="H233" s="159"/>
    </row>
    <row r="234" spans="1:8" s="8" customFormat="1" ht="24.95" customHeight="1">
      <c r="A234" s="13"/>
      <c r="B234" s="14"/>
      <c r="C234" s="132" t="s">
        <v>244</v>
      </c>
      <c r="D234" s="130">
        <f>3.9*7</f>
        <v>27.3</v>
      </c>
      <c r="E234" s="131" t="s">
        <v>1</v>
      </c>
      <c r="F234" s="31"/>
      <c r="G234" s="32"/>
      <c r="H234" s="159"/>
    </row>
    <row r="235" spans="1:8" s="8" customFormat="1" ht="24.95" customHeight="1">
      <c r="A235" s="13"/>
      <c r="B235" s="14"/>
      <c r="C235" s="133" t="s">
        <v>241</v>
      </c>
      <c r="D235" s="134">
        <f>SUM(D226:D234)</f>
        <v>222.30000000000004</v>
      </c>
      <c r="E235" s="135" t="s">
        <v>1</v>
      </c>
      <c r="F235" s="31"/>
      <c r="G235" s="32"/>
      <c r="H235" s="159"/>
    </row>
    <row r="236" spans="1:8" s="8" customFormat="1" ht="24.95" customHeight="1">
      <c r="A236" s="13"/>
      <c r="B236" s="14"/>
      <c r="C236" s="133" t="s">
        <v>41</v>
      </c>
      <c r="D236" s="134">
        <f>D235+D224</f>
        <v>290.70000000000005</v>
      </c>
      <c r="E236" s="135" t="s">
        <v>1</v>
      </c>
      <c r="F236" s="31"/>
      <c r="G236" s="32"/>
      <c r="H236" s="159"/>
    </row>
    <row r="237" spans="1:8" s="8" customFormat="1" ht="24.95" customHeight="1">
      <c r="A237" s="13"/>
      <c r="B237" s="14"/>
      <c r="C237" s="15"/>
      <c r="D237" s="24"/>
      <c r="E237" s="25"/>
      <c r="F237" s="31"/>
      <c r="G237" s="32"/>
      <c r="H237" s="159"/>
    </row>
    <row r="238" spans="1:12" s="8" customFormat="1" ht="24.95" customHeight="1">
      <c r="A238" s="13"/>
      <c r="B238" s="14" t="s">
        <v>15</v>
      </c>
      <c r="C238" s="15" t="s">
        <v>16</v>
      </c>
      <c r="D238" s="24">
        <f>D242</f>
        <v>265.11534000000006</v>
      </c>
      <c r="E238" s="25" t="s">
        <v>1</v>
      </c>
      <c r="F238" s="31"/>
      <c r="G238" s="32">
        <f>D238*F238</f>
        <v>0</v>
      </c>
      <c r="H238" s="159"/>
      <c r="K238" s="8">
        <f>169.88/1000</f>
        <v>0.16988</v>
      </c>
      <c r="L238" s="8">
        <f>D238*K238</f>
        <v>45.03779395920001</v>
      </c>
    </row>
    <row r="239" spans="1:8" s="8" customFormat="1" ht="24.95" customHeight="1">
      <c r="A239" s="13"/>
      <c r="B239" s="14"/>
      <c r="C239" s="132" t="s">
        <v>246</v>
      </c>
      <c r="D239" s="130">
        <f>D216</f>
        <v>290.70000000000005</v>
      </c>
      <c r="E239" s="131" t="s">
        <v>1</v>
      </c>
      <c r="F239" s="31"/>
      <c r="G239" s="32"/>
      <c r="H239" s="159"/>
    </row>
    <row r="240" spans="1:8" s="8" customFormat="1" ht="24.95" customHeight="1">
      <c r="A240" s="13"/>
      <c r="B240" s="14"/>
      <c r="C240" s="132" t="s">
        <v>247</v>
      </c>
      <c r="D240" s="130">
        <f>-D270</f>
        <v>-30.783</v>
      </c>
      <c r="E240" s="131" t="s">
        <v>1</v>
      </c>
      <c r="F240" s="31"/>
      <c r="G240" s="32"/>
      <c r="H240" s="159"/>
    </row>
    <row r="241" spans="1:8" s="8" customFormat="1" ht="24.95" customHeight="1">
      <c r="A241" s="13"/>
      <c r="B241" s="14"/>
      <c r="C241" s="133" t="s">
        <v>41</v>
      </c>
      <c r="D241" s="134">
        <f>SUM(D239:D240)</f>
        <v>259.91700000000003</v>
      </c>
      <c r="E241" s="135" t="s">
        <v>1</v>
      </c>
      <c r="F241" s="31"/>
      <c r="G241" s="32"/>
      <c r="H241" s="159"/>
    </row>
    <row r="242" spans="1:8" s="8" customFormat="1" ht="24.95" customHeight="1">
      <c r="A242" s="13"/>
      <c r="B242" s="14"/>
      <c r="C242" s="133" t="s">
        <v>303</v>
      </c>
      <c r="D242" s="134">
        <f>D241*1.02</f>
        <v>265.11534000000006</v>
      </c>
      <c r="E242" s="135" t="s">
        <v>1</v>
      </c>
      <c r="F242" s="31"/>
      <c r="G242" s="32"/>
      <c r="H242" s="159"/>
    </row>
    <row r="243" spans="1:8" s="8" customFormat="1" ht="24.95" customHeight="1">
      <c r="A243" s="13"/>
      <c r="B243" s="14"/>
      <c r="C243" s="133"/>
      <c r="D243" s="134"/>
      <c r="E243" s="135"/>
      <c r="F243" s="31"/>
      <c r="G243" s="32"/>
      <c r="H243" s="159"/>
    </row>
    <row r="244" spans="1:12" s="8" customFormat="1" ht="24.95" customHeight="1">
      <c r="A244" s="13"/>
      <c r="B244" s="14" t="s">
        <v>17</v>
      </c>
      <c r="C244" s="15" t="s">
        <v>18</v>
      </c>
      <c r="D244" s="24">
        <f>D271</f>
        <v>31.706490000000002</v>
      </c>
      <c r="E244" s="25" t="s">
        <v>1</v>
      </c>
      <c r="F244" s="31"/>
      <c r="G244" s="32">
        <f>D244*F244</f>
        <v>0</v>
      </c>
      <c r="H244" s="159"/>
      <c r="K244" s="8">
        <f>K213</f>
        <v>0.1277</v>
      </c>
      <c r="L244" s="8">
        <f>D244*K244</f>
        <v>4.0489187730000005</v>
      </c>
    </row>
    <row r="245" spans="1:8" s="8" customFormat="1" ht="24.95" customHeight="1">
      <c r="A245" s="13"/>
      <c r="B245" s="14"/>
      <c r="C245" s="132" t="s">
        <v>233</v>
      </c>
      <c r="D245" s="130"/>
      <c r="E245" s="131"/>
      <c r="F245" s="31"/>
      <c r="G245" s="32"/>
      <c r="H245" s="159"/>
    </row>
    <row r="246" spans="1:8" s="8" customFormat="1" ht="24.95" customHeight="1">
      <c r="A246" s="13"/>
      <c r="B246" s="14"/>
      <c r="C246" s="132" t="s">
        <v>216</v>
      </c>
      <c r="D246" s="130">
        <f>0.31*(5+2*1)</f>
        <v>2.17</v>
      </c>
      <c r="E246" s="131" t="s">
        <v>1</v>
      </c>
      <c r="F246" s="31"/>
      <c r="G246" s="32"/>
      <c r="H246" s="159"/>
    </row>
    <row r="247" spans="1:8" s="8" customFormat="1" ht="24.95" customHeight="1">
      <c r="A247" s="13"/>
      <c r="B247" s="14"/>
      <c r="C247" s="132" t="s">
        <v>218</v>
      </c>
      <c r="D247" s="130">
        <f>0.31*(2*1+2.5)</f>
        <v>1.395</v>
      </c>
      <c r="E247" s="131" t="s">
        <v>1</v>
      </c>
      <c r="F247" s="31"/>
      <c r="G247" s="32"/>
      <c r="H247" s="159"/>
    </row>
    <row r="248" spans="1:8" s="8" customFormat="1" ht="24.95" customHeight="1">
      <c r="A248" s="13"/>
      <c r="B248" s="14"/>
      <c r="C248" s="132" t="s">
        <v>219</v>
      </c>
      <c r="D248" s="130">
        <f>0.31*(3.5+2*1)</f>
        <v>1.705</v>
      </c>
      <c r="E248" s="131" t="s">
        <v>1</v>
      </c>
      <c r="F248" s="31"/>
      <c r="G248" s="32"/>
      <c r="H248" s="159"/>
    </row>
    <row r="249" spans="1:8" s="8" customFormat="1" ht="24.95" customHeight="1">
      <c r="A249" s="13"/>
      <c r="B249" s="14"/>
      <c r="C249" s="132" t="s">
        <v>220</v>
      </c>
      <c r="D249" s="130">
        <f>0.31*(4+2*1)</f>
        <v>1.8599999999999999</v>
      </c>
      <c r="E249" s="131" t="s">
        <v>1</v>
      </c>
      <c r="F249" s="31"/>
      <c r="G249" s="32"/>
      <c r="H249" s="159"/>
    </row>
    <row r="250" spans="1:8" s="8" customFormat="1" ht="24.95" customHeight="1">
      <c r="A250" s="13"/>
      <c r="B250" s="14"/>
      <c r="C250" s="132" t="s">
        <v>222</v>
      </c>
      <c r="D250" s="130">
        <f>0.31*(6+2*1)</f>
        <v>2.48</v>
      </c>
      <c r="E250" s="131" t="s">
        <v>1</v>
      </c>
      <c r="F250" s="31"/>
      <c r="G250" s="32"/>
      <c r="H250" s="159"/>
    </row>
    <row r="251" spans="1:8" s="8" customFormat="1" ht="24.95" customHeight="1">
      <c r="A251" s="13"/>
      <c r="B251" s="14"/>
      <c r="C251" s="132" t="s">
        <v>223</v>
      </c>
      <c r="D251" s="130">
        <f>0.31*(3+2*1)</f>
        <v>1.55</v>
      </c>
      <c r="E251" s="131" t="s">
        <v>1</v>
      </c>
      <c r="F251" s="31"/>
      <c r="G251" s="32"/>
      <c r="H251" s="159"/>
    </row>
    <row r="252" spans="1:8" s="8" customFormat="1" ht="24.95" customHeight="1">
      <c r="A252" s="13"/>
      <c r="B252" s="14"/>
      <c r="C252" s="133" t="s">
        <v>234</v>
      </c>
      <c r="D252" s="134">
        <f>SUM(D246:D251)</f>
        <v>11.16</v>
      </c>
      <c r="E252" s="135" t="s">
        <v>1</v>
      </c>
      <c r="F252" s="31"/>
      <c r="G252" s="32"/>
      <c r="H252" s="159"/>
    </row>
    <row r="253" spans="1:8" s="8" customFormat="1" ht="24.95" customHeight="1">
      <c r="A253" s="13"/>
      <c r="B253" s="14"/>
      <c r="C253" s="132" t="s">
        <v>217</v>
      </c>
      <c r="D253" s="130">
        <f>0.31*1.2</f>
        <v>0.372</v>
      </c>
      <c r="E253" s="131" t="s">
        <v>1</v>
      </c>
      <c r="F253" s="31"/>
      <c r="G253" s="32"/>
      <c r="H253" s="159"/>
    </row>
    <row r="254" spans="1:8" s="8" customFormat="1" ht="24.95" customHeight="1">
      <c r="A254" s="13"/>
      <c r="B254" s="14"/>
      <c r="C254" s="132" t="s">
        <v>221</v>
      </c>
      <c r="D254" s="130">
        <f>0.31*1.6</f>
        <v>0.496</v>
      </c>
      <c r="E254" s="131" t="s">
        <v>1</v>
      </c>
      <c r="F254" s="31"/>
      <c r="G254" s="32"/>
      <c r="H254" s="159"/>
    </row>
    <row r="255" spans="1:8" s="8" customFormat="1" ht="24.95" customHeight="1">
      <c r="A255" s="13"/>
      <c r="B255" s="14"/>
      <c r="C255" s="133" t="s">
        <v>245</v>
      </c>
      <c r="D255" s="134">
        <f>SUM(D253:D254)</f>
        <v>0.868</v>
      </c>
      <c r="E255" s="135" t="s">
        <v>1</v>
      </c>
      <c r="F255" s="31"/>
      <c r="G255" s="32"/>
      <c r="H255" s="159"/>
    </row>
    <row r="256" spans="1:8" s="8" customFormat="1" ht="24.95" customHeight="1">
      <c r="A256" s="13"/>
      <c r="B256" s="14"/>
      <c r="C256" s="132" t="s">
        <v>235</v>
      </c>
      <c r="D256" s="130"/>
      <c r="E256" s="131"/>
      <c r="F256" s="31"/>
      <c r="G256" s="32"/>
      <c r="H256" s="159"/>
    </row>
    <row r="257" spans="1:8" s="8" customFormat="1" ht="24.95" customHeight="1">
      <c r="A257" s="13"/>
      <c r="B257" s="14"/>
      <c r="C257" s="132" t="s">
        <v>207</v>
      </c>
      <c r="D257" s="130">
        <f>0.31*(4.5+2*1)</f>
        <v>2.015</v>
      </c>
      <c r="E257" s="131" t="s">
        <v>1</v>
      </c>
      <c r="F257" s="31"/>
      <c r="G257" s="32"/>
      <c r="H257" s="159"/>
    </row>
    <row r="258" spans="1:8" s="8" customFormat="1" ht="24.95" customHeight="1">
      <c r="A258" s="13"/>
      <c r="B258" s="14"/>
      <c r="C258" s="132" t="s">
        <v>208</v>
      </c>
      <c r="D258" s="130">
        <f>0.31*(5.5+2*1)</f>
        <v>2.325</v>
      </c>
      <c r="E258" s="131" t="s">
        <v>1</v>
      </c>
      <c r="F258" s="31"/>
      <c r="G258" s="32"/>
      <c r="H258" s="159"/>
    </row>
    <row r="259" spans="1:8" s="8" customFormat="1" ht="24.95" customHeight="1">
      <c r="A259" s="13"/>
      <c r="B259" s="14"/>
      <c r="C259" s="132" t="s">
        <v>209</v>
      </c>
      <c r="D259" s="130">
        <f>0.31*(4+2*1)</f>
        <v>1.8599999999999999</v>
      </c>
      <c r="E259" s="131" t="s">
        <v>1</v>
      </c>
      <c r="F259" s="31"/>
      <c r="G259" s="32"/>
      <c r="H259" s="159"/>
    </row>
    <row r="260" spans="1:8" s="8" customFormat="1" ht="24.95" customHeight="1">
      <c r="A260" s="13"/>
      <c r="B260" s="14"/>
      <c r="C260" s="132" t="s">
        <v>210</v>
      </c>
      <c r="D260" s="130">
        <f>0.31*(4+2*1)</f>
        <v>1.8599999999999999</v>
      </c>
      <c r="E260" s="131" t="s">
        <v>1</v>
      </c>
      <c r="F260" s="31"/>
      <c r="G260" s="32"/>
      <c r="H260" s="159"/>
    </row>
    <row r="261" spans="1:8" s="8" customFormat="1" ht="24.95" customHeight="1">
      <c r="A261" s="13"/>
      <c r="B261" s="14"/>
      <c r="C261" s="132" t="s">
        <v>211</v>
      </c>
      <c r="D261" s="130">
        <f>0.31*(4+2*1)</f>
        <v>1.8599999999999999</v>
      </c>
      <c r="E261" s="131" t="s">
        <v>1</v>
      </c>
      <c r="F261" s="31"/>
      <c r="G261" s="32"/>
      <c r="H261" s="159"/>
    </row>
    <row r="262" spans="1:8" s="8" customFormat="1" ht="24.95" customHeight="1">
      <c r="A262" s="13"/>
      <c r="B262" s="14"/>
      <c r="C262" s="132" t="s">
        <v>212</v>
      </c>
      <c r="D262" s="130">
        <f>0.31*(5+2*1)</f>
        <v>2.17</v>
      </c>
      <c r="E262" s="131" t="s">
        <v>1</v>
      </c>
      <c r="F262" s="31"/>
      <c r="G262" s="32"/>
      <c r="H262" s="159"/>
    </row>
    <row r="263" spans="1:8" s="8" customFormat="1" ht="24.95" customHeight="1">
      <c r="A263" s="13"/>
      <c r="B263" s="14"/>
      <c r="C263" s="132" t="s">
        <v>213</v>
      </c>
      <c r="D263" s="130">
        <f>0.31*(4+2*1)</f>
        <v>1.8599999999999999</v>
      </c>
      <c r="E263" s="131" t="s">
        <v>1</v>
      </c>
      <c r="F263" s="31"/>
      <c r="G263" s="32"/>
      <c r="H263" s="159"/>
    </row>
    <row r="264" spans="1:8" s="8" customFormat="1" ht="24.95" customHeight="1">
      <c r="A264" s="13"/>
      <c r="B264" s="14"/>
      <c r="C264" s="132" t="s">
        <v>243</v>
      </c>
      <c r="D264" s="130">
        <f>0.31*5</f>
        <v>1.55</v>
      </c>
      <c r="E264" s="131" t="s">
        <v>1</v>
      </c>
      <c r="F264" s="31"/>
      <c r="G264" s="32"/>
      <c r="H264" s="159"/>
    </row>
    <row r="265" spans="1:8" s="8" customFormat="1" ht="24.95" customHeight="1">
      <c r="A265" s="13"/>
      <c r="B265" s="14"/>
      <c r="C265" s="132" t="s">
        <v>244</v>
      </c>
      <c r="D265" s="130">
        <f>0.31*7</f>
        <v>2.17</v>
      </c>
      <c r="E265" s="131" t="s">
        <v>1</v>
      </c>
      <c r="F265" s="31"/>
      <c r="G265" s="32"/>
      <c r="H265" s="159"/>
    </row>
    <row r="266" spans="1:8" s="8" customFormat="1" ht="24.95" customHeight="1">
      <c r="A266" s="13"/>
      <c r="B266" s="14"/>
      <c r="C266" s="133" t="s">
        <v>241</v>
      </c>
      <c r="D266" s="134">
        <f>SUM(D257:D265)</f>
        <v>17.669999999999998</v>
      </c>
      <c r="E266" s="135" t="s">
        <v>1</v>
      </c>
      <c r="F266" s="31"/>
      <c r="G266" s="32"/>
      <c r="H266" s="159"/>
    </row>
    <row r="267" spans="1:8" s="8" customFormat="1" ht="24.95" customHeight="1">
      <c r="A267" s="13"/>
      <c r="B267" s="14"/>
      <c r="C267" s="132" t="s">
        <v>190</v>
      </c>
      <c r="D267" s="130">
        <f>0.31*2</f>
        <v>0.62</v>
      </c>
      <c r="E267" s="131" t="s">
        <v>1</v>
      </c>
      <c r="F267" s="31"/>
      <c r="G267" s="32"/>
      <c r="H267" s="159"/>
    </row>
    <row r="268" spans="1:8" s="8" customFormat="1" ht="24.95" customHeight="1">
      <c r="A268" s="13"/>
      <c r="B268" s="14"/>
      <c r="C268" s="132" t="s">
        <v>195</v>
      </c>
      <c r="D268" s="130">
        <f>0.31*1.5</f>
        <v>0.46499999999999997</v>
      </c>
      <c r="E268" s="131" t="s">
        <v>1</v>
      </c>
      <c r="F268" s="31"/>
      <c r="G268" s="32"/>
      <c r="H268" s="159"/>
    </row>
    <row r="269" spans="1:8" s="8" customFormat="1" ht="24.95" customHeight="1">
      <c r="A269" s="13"/>
      <c r="B269" s="14"/>
      <c r="C269" s="133" t="s">
        <v>205</v>
      </c>
      <c r="D269" s="134">
        <f>SUM(D267:D268)</f>
        <v>1.085</v>
      </c>
      <c r="E269" s="135" t="s">
        <v>1</v>
      </c>
      <c r="F269" s="31"/>
      <c r="G269" s="32"/>
      <c r="H269" s="159"/>
    </row>
    <row r="270" spans="1:8" s="8" customFormat="1" ht="24.95" customHeight="1">
      <c r="A270" s="13"/>
      <c r="B270" s="14"/>
      <c r="C270" s="133" t="s">
        <v>41</v>
      </c>
      <c r="D270" s="134">
        <f>D252+D255+D266+D269</f>
        <v>30.783</v>
      </c>
      <c r="E270" s="135" t="s">
        <v>1</v>
      </c>
      <c r="F270" s="31"/>
      <c r="G270" s="32"/>
      <c r="H270" s="159"/>
    </row>
    <row r="271" spans="1:8" s="8" customFormat="1" ht="24.95" customHeight="1">
      <c r="A271" s="13"/>
      <c r="B271" s="14"/>
      <c r="C271" s="133" t="s">
        <v>304</v>
      </c>
      <c r="D271" s="134">
        <f>D270*1.03</f>
        <v>31.706490000000002</v>
      </c>
      <c r="E271" s="135" t="s">
        <v>1</v>
      </c>
      <c r="F271" s="31"/>
      <c r="G271" s="32"/>
      <c r="H271" s="159"/>
    </row>
    <row r="272" spans="1:8" ht="24.95" customHeight="1">
      <c r="A272" s="92"/>
      <c r="B272" s="49">
        <v>5</v>
      </c>
      <c r="C272" s="50" t="s">
        <v>77</v>
      </c>
      <c r="D272" s="51"/>
      <c r="E272" s="52"/>
      <c r="F272" s="53"/>
      <c r="G272" s="54">
        <f>SUM(G152:G271)</f>
        <v>0</v>
      </c>
      <c r="H272" s="158"/>
    </row>
    <row r="273" spans="1:8" ht="24.95" customHeight="1">
      <c r="A273" s="92"/>
      <c r="B273" s="49"/>
      <c r="C273" s="50"/>
      <c r="D273" s="51"/>
      <c r="E273" s="52"/>
      <c r="F273" s="53"/>
      <c r="G273" s="54"/>
      <c r="H273" s="158"/>
    </row>
    <row r="274" spans="1:8" ht="24.95" customHeight="1">
      <c r="A274" s="92"/>
      <c r="B274" s="49">
        <v>8</v>
      </c>
      <c r="C274" s="50" t="s">
        <v>24</v>
      </c>
      <c r="D274" s="51"/>
      <c r="E274" s="52"/>
      <c r="F274" s="53"/>
      <c r="G274" s="54"/>
      <c r="H274" s="158"/>
    </row>
    <row r="275" spans="1:8" ht="24.95" customHeight="1">
      <c r="A275" s="20"/>
      <c r="B275" s="57" t="s">
        <v>57</v>
      </c>
      <c r="C275" s="58" t="s">
        <v>58</v>
      </c>
      <c r="D275" s="103">
        <v>2</v>
      </c>
      <c r="E275" s="59" t="s">
        <v>2</v>
      </c>
      <c r="F275" s="35"/>
      <c r="G275" s="32">
        <f>D275*F275</f>
        <v>0</v>
      </c>
      <c r="H275" s="159"/>
    </row>
    <row r="276" spans="1:12" ht="24.95" customHeight="1">
      <c r="A276" s="20"/>
      <c r="B276" s="60" t="s">
        <v>59</v>
      </c>
      <c r="C276" s="61" t="s">
        <v>60</v>
      </c>
      <c r="D276" s="104">
        <v>2</v>
      </c>
      <c r="E276" s="62" t="s">
        <v>2</v>
      </c>
      <c r="F276" s="35"/>
      <c r="G276" s="32">
        <f aca="true" t="shared" si="1" ref="G276:G282">D276*F276</f>
        <v>0</v>
      </c>
      <c r="H276" s="159"/>
      <c r="K276" s="7">
        <v>0.057</v>
      </c>
      <c r="L276" s="7">
        <f aca="true" t="shared" si="2" ref="L276:L282">D276*K276</f>
        <v>0.114</v>
      </c>
    </row>
    <row r="277" spans="1:12" ht="24.95" customHeight="1">
      <c r="A277" s="17"/>
      <c r="B277" s="60" t="s">
        <v>61</v>
      </c>
      <c r="C277" s="61" t="s">
        <v>62</v>
      </c>
      <c r="D277" s="104">
        <v>2</v>
      </c>
      <c r="E277" s="62" t="s">
        <v>2</v>
      </c>
      <c r="F277" s="34"/>
      <c r="G277" s="32">
        <f t="shared" si="1"/>
        <v>0</v>
      </c>
      <c r="H277" s="159"/>
      <c r="K277" s="7">
        <v>0.057</v>
      </c>
      <c r="L277" s="7">
        <f t="shared" si="2"/>
        <v>0.114</v>
      </c>
    </row>
    <row r="278" spans="1:12" ht="24.95" customHeight="1">
      <c r="A278" s="17"/>
      <c r="B278" s="60" t="s">
        <v>63</v>
      </c>
      <c r="C278" s="61" t="s">
        <v>64</v>
      </c>
      <c r="D278" s="104">
        <v>2</v>
      </c>
      <c r="E278" s="62" t="s">
        <v>2</v>
      </c>
      <c r="F278" s="34"/>
      <c r="G278" s="32">
        <f t="shared" si="1"/>
        <v>0</v>
      </c>
      <c r="H278" s="159"/>
      <c r="K278" s="7">
        <v>0.111</v>
      </c>
      <c r="L278" s="7">
        <f t="shared" si="2"/>
        <v>0.222</v>
      </c>
    </row>
    <row r="279" spans="1:12" ht="24.95" customHeight="1">
      <c r="A279" s="17"/>
      <c r="B279" s="60" t="s">
        <v>65</v>
      </c>
      <c r="C279" s="61" t="s">
        <v>66</v>
      </c>
      <c r="D279" s="104">
        <v>2</v>
      </c>
      <c r="E279" s="62" t="s">
        <v>2</v>
      </c>
      <c r="F279" s="34"/>
      <c r="G279" s="32">
        <f t="shared" si="1"/>
        <v>0</v>
      </c>
      <c r="H279" s="159"/>
      <c r="K279" s="7">
        <v>0.027</v>
      </c>
      <c r="L279" s="7">
        <f t="shared" si="2"/>
        <v>0.054</v>
      </c>
    </row>
    <row r="280" spans="1:12" ht="24.95" customHeight="1">
      <c r="A280" s="17"/>
      <c r="B280" s="60" t="s">
        <v>67</v>
      </c>
      <c r="C280" s="61" t="s">
        <v>68</v>
      </c>
      <c r="D280" s="104">
        <v>2</v>
      </c>
      <c r="E280" s="62" t="s">
        <v>2</v>
      </c>
      <c r="F280" s="34"/>
      <c r="G280" s="32">
        <f t="shared" si="1"/>
        <v>0</v>
      </c>
      <c r="H280" s="159"/>
      <c r="K280" s="7">
        <v>0.064</v>
      </c>
      <c r="L280" s="7">
        <f t="shared" si="2"/>
        <v>0.128</v>
      </c>
    </row>
    <row r="281" spans="1:12" ht="24.95" customHeight="1">
      <c r="A281" s="17"/>
      <c r="B281" s="60" t="s">
        <v>69</v>
      </c>
      <c r="C281" s="61" t="s">
        <v>70</v>
      </c>
      <c r="D281" s="104">
        <v>2</v>
      </c>
      <c r="E281" s="62" t="s">
        <v>2</v>
      </c>
      <c r="F281" s="34"/>
      <c r="G281" s="32">
        <f t="shared" si="1"/>
        <v>0</v>
      </c>
      <c r="H281" s="159"/>
      <c r="K281" s="7">
        <v>0.068</v>
      </c>
      <c r="L281" s="7">
        <f t="shared" si="2"/>
        <v>0.136</v>
      </c>
    </row>
    <row r="282" spans="1:12" ht="24.95" customHeight="1">
      <c r="A282" s="17"/>
      <c r="B282" s="60" t="s">
        <v>71</v>
      </c>
      <c r="C282" s="61" t="s">
        <v>72</v>
      </c>
      <c r="D282" s="104">
        <v>2</v>
      </c>
      <c r="E282" s="62" t="s">
        <v>2</v>
      </c>
      <c r="F282" s="34"/>
      <c r="G282" s="32">
        <f t="shared" si="1"/>
        <v>0</v>
      </c>
      <c r="H282" s="159"/>
      <c r="K282" s="7">
        <v>0.004</v>
      </c>
      <c r="L282" s="7">
        <f t="shared" si="2"/>
        <v>0.008</v>
      </c>
    </row>
    <row r="283" spans="1:8" ht="24.95" customHeight="1">
      <c r="A283" s="92"/>
      <c r="B283" s="49">
        <v>8</v>
      </c>
      <c r="C283" s="50" t="s">
        <v>56</v>
      </c>
      <c r="D283" s="51"/>
      <c r="E283" s="52"/>
      <c r="F283" s="53"/>
      <c r="G283" s="54">
        <f>SUM(G275:G282)</f>
        <v>0</v>
      </c>
      <c r="H283" s="158"/>
    </row>
    <row r="284" spans="1:8" ht="24.95" customHeight="1">
      <c r="A284" s="92"/>
      <c r="B284" s="49"/>
      <c r="C284" s="50"/>
      <c r="D284" s="51"/>
      <c r="E284" s="52"/>
      <c r="F284" s="53"/>
      <c r="G284" s="54"/>
      <c r="H284" s="158"/>
    </row>
    <row r="285" spans="1:8" ht="24.95" customHeight="1">
      <c r="A285" s="92"/>
      <c r="B285" s="49">
        <v>9</v>
      </c>
      <c r="C285" s="50" t="s">
        <v>73</v>
      </c>
      <c r="D285" s="51"/>
      <c r="E285" s="52"/>
      <c r="F285" s="53"/>
      <c r="G285" s="54"/>
      <c r="H285" s="158"/>
    </row>
    <row r="286" spans="1:12" s="8" customFormat="1" ht="24.95" customHeight="1">
      <c r="A286" s="136"/>
      <c r="B286" s="137">
        <v>914111111</v>
      </c>
      <c r="C286" s="138" t="s">
        <v>203</v>
      </c>
      <c r="D286" s="139">
        <v>2</v>
      </c>
      <c r="E286" s="140" t="s">
        <v>2</v>
      </c>
      <c r="F286" s="112"/>
      <c r="G286" s="32">
        <f>D286*F286</f>
        <v>0</v>
      </c>
      <c r="H286" s="159"/>
      <c r="K286" s="8">
        <v>0.0043</v>
      </c>
      <c r="L286" s="8">
        <f>D286*K286</f>
        <v>0.0086</v>
      </c>
    </row>
    <row r="287" spans="1:8" s="8" customFormat="1" ht="24.95" customHeight="1">
      <c r="A287" s="136"/>
      <c r="B287" s="137"/>
      <c r="C287" s="138"/>
      <c r="D287" s="139"/>
      <c r="E287" s="140"/>
      <c r="F287" s="112"/>
      <c r="G287" s="32"/>
      <c r="H287" s="159"/>
    </row>
    <row r="288" spans="1:8" s="8" customFormat="1" ht="24.95" customHeight="1">
      <c r="A288" s="136"/>
      <c r="B288" s="137" t="s">
        <v>167</v>
      </c>
      <c r="C288" s="138" t="s">
        <v>168</v>
      </c>
      <c r="D288" s="139">
        <v>2</v>
      </c>
      <c r="E288" s="140" t="s">
        <v>2</v>
      </c>
      <c r="F288" s="112"/>
      <c r="G288" s="32">
        <f>D288*F288</f>
        <v>0</v>
      </c>
      <c r="H288" s="159"/>
    </row>
    <row r="289" spans="1:8" s="8" customFormat="1" ht="24.95" customHeight="1">
      <c r="A289" s="136"/>
      <c r="B289" s="137"/>
      <c r="C289" s="138"/>
      <c r="D289" s="139"/>
      <c r="E289" s="140"/>
      <c r="F289" s="112"/>
      <c r="G289" s="32"/>
      <c r="H289" s="159"/>
    </row>
    <row r="290" spans="1:12" ht="24.95" customHeight="1">
      <c r="A290" s="55"/>
      <c r="B290" s="56">
        <v>919124121</v>
      </c>
      <c r="C290" s="57" t="s">
        <v>9</v>
      </c>
      <c r="D290" s="103">
        <f>D295</f>
        <v>379.1</v>
      </c>
      <c r="E290" s="59" t="s">
        <v>5</v>
      </c>
      <c r="F290" s="35"/>
      <c r="G290" s="32">
        <f>D290*F290</f>
        <v>0</v>
      </c>
      <c r="H290" s="159"/>
      <c r="K290" s="7">
        <v>0.0043</v>
      </c>
      <c r="L290" s="7">
        <f>D290*K290</f>
        <v>1.63013</v>
      </c>
    </row>
    <row r="291" spans="1:8" ht="24.95" customHeight="1">
      <c r="A291" s="10"/>
      <c r="B291" s="16"/>
      <c r="C291" s="96" t="s">
        <v>45</v>
      </c>
      <c r="D291" s="102">
        <f>2*180</f>
        <v>360</v>
      </c>
      <c r="E291" s="97" t="s">
        <v>5</v>
      </c>
      <c r="F291" s="33"/>
      <c r="G291" s="32"/>
      <c r="H291" s="159"/>
    </row>
    <row r="292" spans="1:8" ht="24.95" customHeight="1">
      <c r="A292" s="10"/>
      <c r="B292" s="16"/>
      <c r="C292" s="96" t="s">
        <v>47</v>
      </c>
      <c r="D292" s="102">
        <v>5.6</v>
      </c>
      <c r="E292" s="97" t="s">
        <v>5</v>
      </c>
      <c r="F292" s="33"/>
      <c r="G292" s="32"/>
      <c r="H292" s="159"/>
    </row>
    <row r="293" spans="1:8" ht="24.95" customHeight="1">
      <c r="A293" s="10"/>
      <c r="B293" s="16"/>
      <c r="C293" s="96" t="s">
        <v>46</v>
      </c>
      <c r="D293" s="102">
        <v>7.8</v>
      </c>
      <c r="E293" s="97" t="s">
        <v>5</v>
      </c>
      <c r="F293" s="33"/>
      <c r="G293" s="32"/>
      <c r="H293" s="159"/>
    </row>
    <row r="294" spans="1:8" ht="24.95" customHeight="1">
      <c r="A294" s="10"/>
      <c r="B294" s="16"/>
      <c r="C294" s="96" t="s">
        <v>48</v>
      </c>
      <c r="D294" s="102">
        <v>5.7</v>
      </c>
      <c r="E294" s="97" t="s">
        <v>5</v>
      </c>
      <c r="F294" s="33"/>
      <c r="G294" s="32"/>
      <c r="H294" s="159"/>
    </row>
    <row r="295" spans="1:8" ht="24.95" customHeight="1">
      <c r="A295" s="10"/>
      <c r="B295" s="16"/>
      <c r="C295" s="98" t="s">
        <v>41</v>
      </c>
      <c r="D295" s="99">
        <f>SUM(D291:D294)</f>
        <v>379.1</v>
      </c>
      <c r="E295" s="100" t="s">
        <v>5</v>
      </c>
      <c r="F295" s="33"/>
      <c r="G295" s="32"/>
      <c r="H295" s="159"/>
    </row>
    <row r="296" spans="1:8" ht="24.95" customHeight="1">
      <c r="A296" s="20"/>
      <c r="B296" s="11"/>
      <c r="C296" s="11"/>
      <c r="D296" s="28"/>
      <c r="E296" s="29"/>
      <c r="F296" s="35"/>
      <c r="G296" s="32"/>
      <c r="H296" s="159"/>
    </row>
    <row r="297" spans="1:12" s="8" customFormat="1" ht="24.95" customHeight="1">
      <c r="A297" s="109"/>
      <c r="B297" s="65" t="s">
        <v>89</v>
      </c>
      <c r="C297" s="65" t="s">
        <v>90</v>
      </c>
      <c r="D297" s="110">
        <f>D67</f>
        <v>331</v>
      </c>
      <c r="E297" s="111" t="s">
        <v>5</v>
      </c>
      <c r="F297" s="112"/>
      <c r="G297" s="32">
        <f>D297*F297</f>
        <v>0</v>
      </c>
      <c r="H297" s="159"/>
      <c r="K297" s="8">
        <v>0.14067</v>
      </c>
      <c r="L297" s="8">
        <f>D297*K297</f>
        <v>46.561769999999996</v>
      </c>
    </row>
    <row r="298" spans="1:8" ht="24.95" customHeight="1">
      <c r="A298" s="10"/>
      <c r="B298" s="16"/>
      <c r="C298" s="96" t="s">
        <v>240</v>
      </c>
      <c r="D298" s="102"/>
      <c r="E298" s="97"/>
      <c r="F298" s="33"/>
      <c r="G298" s="32"/>
      <c r="H298" s="159"/>
    </row>
    <row r="299" spans="1:8" s="8" customFormat="1" ht="24.95" customHeight="1">
      <c r="A299" s="109"/>
      <c r="B299" s="65"/>
      <c r="C299" s="65"/>
      <c r="D299" s="110"/>
      <c r="E299" s="111"/>
      <c r="F299" s="112"/>
      <c r="G299" s="32"/>
      <c r="H299" s="159"/>
    </row>
    <row r="300" spans="1:12" s="8" customFormat="1" ht="24.95" customHeight="1">
      <c r="A300" s="109"/>
      <c r="B300" s="65" t="s">
        <v>88</v>
      </c>
      <c r="C300" s="65" t="s">
        <v>281</v>
      </c>
      <c r="D300" s="110">
        <f>D297*1.1</f>
        <v>364.1</v>
      </c>
      <c r="E300" s="111" t="s">
        <v>5</v>
      </c>
      <c r="F300" s="112"/>
      <c r="G300" s="32">
        <f>D300*F300</f>
        <v>0</v>
      </c>
      <c r="H300" s="159"/>
      <c r="K300" s="8">
        <f>102/1000</f>
        <v>0.102</v>
      </c>
      <c r="L300" s="8">
        <f>D300*K300</f>
        <v>37.1382</v>
      </c>
    </row>
    <row r="301" spans="1:8" s="8" customFormat="1" ht="24.95" customHeight="1">
      <c r="A301" s="109"/>
      <c r="B301" s="65"/>
      <c r="C301" s="65"/>
      <c r="D301" s="110"/>
      <c r="E301" s="111"/>
      <c r="F301" s="112"/>
      <c r="G301" s="32"/>
      <c r="H301" s="159"/>
    </row>
    <row r="302" spans="1:12" s="8" customFormat="1" ht="24.95" customHeight="1">
      <c r="A302" s="109"/>
      <c r="B302" s="65">
        <v>916231214</v>
      </c>
      <c r="C302" s="65" t="s">
        <v>145</v>
      </c>
      <c r="D302" s="110">
        <f>D320</f>
        <v>147.5</v>
      </c>
      <c r="E302" s="111" t="s">
        <v>5</v>
      </c>
      <c r="F302" s="112"/>
      <c r="G302" s="32">
        <f>D302*F302</f>
        <v>0</v>
      </c>
      <c r="H302" s="159"/>
      <c r="K302" s="8">
        <f>0.14067</f>
        <v>0.14067</v>
      </c>
      <c r="L302" s="8">
        <f>D302*K302</f>
        <v>20.748825</v>
      </c>
    </row>
    <row r="303" spans="1:8" ht="24.95" customHeight="1">
      <c r="A303" s="10"/>
      <c r="B303" s="16"/>
      <c r="C303" s="96" t="s">
        <v>266</v>
      </c>
      <c r="D303" s="102">
        <f>133+32</f>
        <v>165</v>
      </c>
      <c r="E303" s="97" t="s">
        <v>5</v>
      </c>
      <c r="F303" s="33"/>
      <c r="G303" s="32"/>
      <c r="H303" s="159"/>
    </row>
    <row r="304" spans="1:8" ht="24.95" customHeight="1">
      <c r="A304" s="10"/>
      <c r="B304" s="16"/>
      <c r="C304" s="98" t="s">
        <v>269</v>
      </c>
      <c r="D304" s="99">
        <f>D303</f>
        <v>165</v>
      </c>
      <c r="E304" s="100" t="s">
        <v>5</v>
      </c>
      <c r="F304" s="33"/>
      <c r="G304" s="32"/>
      <c r="H304" s="159"/>
    </row>
    <row r="305" spans="1:8" ht="24.95" customHeight="1">
      <c r="A305" s="10"/>
      <c r="B305" s="16"/>
      <c r="C305" s="96" t="s">
        <v>267</v>
      </c>
      <c r="D305" s="102"/>
      <c r="E305" s="97"/>
      <c r="F305" s="33"/>
      <c r="G305" s="32"/>
      <c r="H305" s="159"/>
    </row>
    <row r="306" spans="1:8" ht="24.95" customHeight="1">
      <c r="A306" s="10"/>
      <c r="B306" s="16"/>
      <c r="C306" s="132" t="s">
        <v>207</v>
      </c>
      <c r="D306" s="130">
        <f>-(4.5+2*1)</f>
        <v>-6.5</v>
      </c>
      <c r="E306" s="131" t="s">
        <v>5</v>
      </c>
      <c r="F306" s="33"/>
      <c r="G306" s="32"/>
      <c r="H306" s="159"/>
    </row>
    <row r="307" spans="1:8" ht="24.95" customHeight="1">
      <c r="A307" s="10"/>
      <c r="B307" s="16"/>
      <c r="C307" s="132" t="s">
        <v>208</v>
      </c>
      <c r="D307" s="130">
        <f>-(5.5+2*1)</f>
        <v>-7.5</v>
      </c>
      <c r="E307" s="131" t="s">
        <v>5</v>
      </c>
      <c r="F307" s="33"/>
      <c r="G307" s="32"/>
      <c r="H307" s="159"/>
    </row>
    <row r="308" spans="1:8" ht="24.95" customHeight="1">
      <c r="A308" s="10"/>
      <c r="B308" s="16"/>
      <c r="C308" s="132" t="s">
        <v>209</v>
      </c>
      <c r="D308" s="130">
        <f>-(4+2*1)</f>
        <v>-6</v>
      </c>
      <c r="E308" s="131" t="s">
        <v>5</v>
      </c>
      <c r="F308" s="33"/>
      <c r="G308" s="32"/>
      <c r="H308" s="159"/>
    </row>
    <row r="309" spans="1:8" ht="24.95" customHeight="1">
      <c r="A309" s="10"/>
      <c r="B309" s="16"/>
      <c r="C309" s="132" t="s">
        <v>210</v>
      </c>
      <c r="D309" s="130">
        <f>-(4+2*1)</f>
        <v>-6</v>
      </c>
      <c r="E309" s="131" t="s">
        <v>5</v>
      </c>
      <c r="F309" s="33"/>
      <c r="G309" s="32"/>
      <c r="H309" s="159"/>
    </row>
    <row r="310" spans="1:8" ht="24.95" customHeight="1">
      <c r="A310" s="10"/>
      <c r="B310" s="16"/>
      <c r="C310" s="132" t="s">
        <v>211</v>
      </c>
      <c r="D310" s="130">
        <f>-(4+2*1)</f>
        <v>-6</v>
      </c>
      <c r="E310" s="131" t="s">
        <v>5</v>
      </c>
      <c r="F310" s="33"/>
      <c r="G310" s="32"/>
      <c r="H310" s="159"/>
    </row>
    <row r="311" spans="1:8" ht="24.95" customHeight="1">
      <c r="A311" s="10"/>
      <c r="B311" s="16"/>
      <c r="C311" s="132" t="s">
        <v>212</v>
      </c>
      <c r="D311" s="130">
        <f>-(5+2*1)</f>
        <v>-7</v>
      </c>
      <c r="E311" s="131" t="s">
        <v>5</v>
      </c>
      <c r="F311" s="33"/>
      <c r="G311" s="32"/>
      <c r="H311" s="159"/>
    </row>
    <row r="312" spans="1:8" ht="24.95" customHeight="1">
      <c r="A312" s="10"/>
      <c r="B312" s="16"/>
      <c r="C312" s="132" t="s">
        <v>213</v>
      </c>
      <c r="D312" s="130">
        <f>-(4+2*1)</f>
        <v>-6</v>
      </c>
      <c r="E312" s="131" t="s">
        <v>5</v>
      </c>
      <c r="F312" s="33"/>
      <c r="G312" s="32"/>
      <c r="H312" s="159"/>
    </row>
    <row r="313" spans="1:8" ht="24.95" customHeight="1">
      <c r="A313" s="10"/>
      <c r="B313" s="16"/>
      <c r="C313" s="132" t="s">
        <v>268</v>
      </c>
      <c r="D313" s="130">
        <f>-5*0</f>
        <v>0</v>
      </c>
      <c r="E313" s="131" t="s">
        <v>5</v>
      </c>
      <c r="F313" s="33"/>
      <c r="G313" s="32"/>
      <c r="H313" s="159"/>
    </row>
    <row r="314" spans="1:8" ht="24.95" customHeight="1">
      <c r="A314" s="10"/>
      <c r="B314" s="16"/>
      <c r="C314" s="132" t="s">
        <v>244</v>
      </c>
      <c r="D314" s="130">
        <f>-7</f>
        <v>-7</v>
      </c>
      <c r="E314" s="131" t="s">
        <v>5</v>
      </c>
      <c r="F314" s="33"/>
      <c r="G314" s="32"/>
      <c r="H314" s="159"/>
    </row>
    <row r="315" spans="1:8" ht="24.95" customHeight="1">
      <c r="A315" s="10"/>
      <c r="B315" s="16"/>
      <c r="C315" s="132" t="s">
        <v>190</v>
      </c>
      <c r="D315" s="130">
        <f>-2</f>
        <v>-2</v>
      </c>
      <c r="E315" s="131" t="s">
        <v>5</v>
      </c>
      <c r="F315" s="33"/>
      <c r="G315" s="32"/>
      <c r="H315" s="159"/>
    </row>
    <row r="316" spans="1:8" ht="24.95" customHeight="1">
      <c r="A316" s="10"/>
      <c r="B316" s="16"/>
      <c r="C316" s="132" t="s">
        <v>195</v>
      </c>
      <c r="D316" s="130">
        <f>-1.5</f>
        <v>-1.5</v>
      </c>
      <c r="E316" s="131" t="s">
        <v>5</v>
      </c>
      <c r="F316" s="33"/>
      <c r="G316" s="32"/>
      <c r="H316" s="159"/>
    </row>
    <row r="317" spans="1:8" ht="24.95" customHeight="1">
      <c r="A317" s="10"/>
      <c r="B317" s="16"/>
      <c r="C317" s="98" t="s">
        <v>272</v>
      </c>
      <c r="D317" s="99">
        <f>SUM(D306:D316)</f>
        <v>-55.5</v>
      </c>
      <c r="E317" s="100" t="s">
        <v>5</v>
      </c>
      <c r="F317" s="33"/>
      <c r="G317" s="32"/>
      <c r="H317" s="159"/>
    </row>
    <row r="318" spans="1:8" ht="24.95" customHeight="1">
      <c r="A318" s="10"/>
      <c r="B318" s="16"/>
      <c r="C318" s="96" t="s">
        <v>270</v>
      </c>
      <c r="D318" s="102">
        <f>10*2*1.9</f>
        <v>38</v>
      </c>
      <c r="E318" s="97"/>
      <c r="F318" s="33"/>
      <c r="G318" s="32"/>
      <c r="H318" s="159"/>
    </row>
    <row r="319" spans="1:8" ht="24.95" customHeight="1">
      <c r="A319" s="10"/>
      <c r="B319" s="16"/>
      <c r="C319" s="98" t="s">
        <v>271</v>
      </c>
      <c r="D319" s="99">
        <f>D318</f>
        <v>38</v>
      </c>
      <c r="E319" s="100" t="s">
        <v>5</v>
      </c>
      <c r="F319" s="33"/>
      <c r="G319" s="32"/>
      <c r="H319" s="159"/>
    </row>
    <row r="320" spans="1:8" ht="24.95" customHeight="1">
      <c r="A320" s="10"/>
      <c r="B320" s="16"/>
      <c r="C320" s="98" t="s">
        <v>41</v>
      </c>
      <c r="D320" s="99">
        <f>D304+D317+D319</f>
        <v>147.5</v>
      </c>
      <c r="E320" s="100" t="s">
        <v>5</v>
      </c>
      <c r="F320" s="33"/>
      <c r="G320" s="32"/>
      <c r="H320" s="159"/>
    </row>
    <row r="321" spans="1:8" ht="24.95" customHeight="1">
      <c r="A321" s="10"/>
      <c r="B321" s="16"/>
      <c r="C321" s="98"/>
      <c r="D321" s="99"/>
      <c r="E321" s="100"/>
      <c r="F321" s="33"/>
      <c r="G321" s="32"/>
      <c r="H321" s="159"/>
    </row>
    <row r="322" spans="1:12" s="8" customFormat="1" ht="24.95" customHeight="1">
      <c r="A322" s="109"/>
      <c r="B322" s="65">
        <v>592173070</v>
      </c>
      <c r="C322" s="65" t="s">
        <v>85</v>
      </c>
      <c r="D322" s="110">
        <f>D302*2*1.1+0.5</f>
        <v>325</v>
      </c>
      <c r="E322" s="111" t="s">
        <v>2</v>
      </c>
      <c r="F322" s="112"/>
      <c r="G322" s="32">
        <f>D322*F322</f>
        <v>0</v>
      </c>
      <c r="H322" s="159"/>
      <c r="K322" s="8">
        <f>11/1000</f>
        <v>0.011</v>
      </c>
      <c r="L322" s="8">
        <f>D322*K322</f>
        <v>3.5749999999999997</v>
      </c>
    </row>
    <row r="323" spans="1:8" s="8" customFormat="1" ht="24.95" customHeight="1">
      <c r="A323" s="109"/>
      <c r="B323" s="65"/>
      <c r="C323" s="113"/>
      <c r="D323" s="110"/>
      <c r="E323" s="111"/>
      <c r="F323" s="112"/>
      <c r="G323" s="32"/>
      <c r="H323" s="159"/>
    </row>
    <row r="324" spans="1:12" s="8" customFormat="1" ht="24.95" customHeight="1">
      <c r="A324" s="109"/>
      <c r="B324" s="65">
        <v>916991121</v>
      </c>
      <c r="C324" s="65" t="s">
        <v>144</v>
      </c>
      <c r="D324" s="110">
        <f>0.2*0.2*D297+0.1*0.1*D302</f>
        <v>14.715000000000002</v>
      </c>
      <c r="E324" s="111" t="s">
        <v>3</v>
      </c>
      <c r="F324" s="112"/>
      <c r="G324" s="32">
        <f>D324*F324</f>
        <v>0</v>
      </c>
      <c r="H324" s="159"/>
      <c r="K324" s="8">
        <v>2.25634</v>
      </c>
      <c r="L324" s="8">
        <f>D324*K324</f>
        <v>33.2020431</v>
      </c>
    </row>
    <row r="325" spans="1:8" s="8" customFormat="1" ht="24.95" customHeight="1">
      <c r="A325" s="109"/>
      <c r="B325" s="65" t="s">
        <v>169</v>
      </c>
      <c r="C325" s="65" t="s">
        <v>170</v>
      </c>
      <c r="D325" s="110">
        <f>D333</f>
        <v>156.15</v>
      </c>
      <c r="E325" s="111" t="s">
        <v>1</v>
      </c>
      <c r="F325" s="112"/>
      <c r="G325" s="32">
        <f>D325*F325</f>
        <v>0</v>
      </c>
      <c r="H325" s="159"/>
    </row>
    <row r="326" spans="1:8" ht="24.95" customHeight="1">
      <c r="A326" s="10"/>
      <c r="B326" s="16"/>
      <c r="C326" s="96" t="s">
        <v>248</v>
      </c>
      <c r="D326" s="102">
        <f>0.5*68.2</f>
        <v>34.1</v>
      </c>
      <c r="E326" s="97" t="s">
        <v>1</v>
      </c>
      <c r="F326" s="33"/>
      <c r="G326" s="32"/>
      <c r="H326" s="159"/>
    </row>
    <row r="327" spans="1:8" ht="24.95" customHeight="1">
      <c r="A327" s="10"/>
      <c r="B327" s="16"/>
      <c r="C327" s="96" t="s">
        <v>249</v>
      </c>
      <c r="D327" s="102">
        <f>0.5*69.1</f>
        <v>34.55</v>
      </c>
      <c r="E327" s="97" t="s">
        <v>1</v>
      </c>
      <c r="F327" s="33"/>
      <c r="G327" s="32"/>
      <c r="H327" s="159"/>
    </row>
    <row r="328" spans="1:8" ht="24.95" customHeight="1">
      <c r="A328" s="10"/>
      <c r="B328" s="16"/>
      <c r="C328" s="96" t="s">
        <v>259</v>
      </c>
      <c r="D328" s="102">
        <f>0.5*10</f>
        <v>5</v>
      </c>
      <c r="E328" s="97" t="s">
        <v>1</v>
      </c>
      <c r="F328" s="33"/>
      <c r="G328" s="32"/>
      <c r="H328" s="159"/>
    </row>
    <row r="329" spans="1:8" ht="24.95" customHeight="1">
      <c r="A329" s="10"/>
      <c r="B329" s="16"/>
      <c r="C329" s="98" t="s">
        <v>82</v>
      </c>
      <c r="D329" s="99">
        <f>SUM(D326:D328)</f>
        <v>73.65</v>
      </c>
      <c r="E329" s="100" t="s">
        <v>1</v>
      </c>
      <c r="F329" s="33"/>
      <c r="G329" s="32"/>
      <c r="H329" s="159"/>
    </row>
    <row r="330" spans="1:8" ht="24.95" customHeight="1">
      <c r="A330" s="10"/>
      <c r="B330" s="16"/>
      <c r="C330" s="96" t="s">
        <v>250</v>
      </c>
      <c r="D330" s="102">
        <f>0.5*133</f>
        <v>66.5</v>
      </c>
      <c r="E330" s="97" t="s">
        <v>1</v>
      </c>
      <c r="F330" s="33"/>
      <c r="G330" s="32"/>
      <c r="H330" s="159"/>
    </row>
    <row r="331" spans="1:8" ht="24.95" customHeight="1">
      <c r="A331" s="10"/>
      <c r="B331" s="16"/>
      <c r="C331" s="96" t="s">
        <v>265</v>
      </c>
      <c r="D331" s="102">
        <f>0.5*32</f>
        <v>16</v>
      </c>
      <c r="E331" s="97" t="s">
        <v>1</v>
      </c>
      <c r="F331" s="33"/>
      <c r="G331" s="32"/>
      <c r="H331" s="159"/>
    </row>
    <row r="332" spans="1:8" ht="24.95" customHeight="1">
      <c r="A332" s="10"/>
      <c r="B332" s="16"/>
      <c r="C332" s="98" t="s">
        <v>226</v>
      </c>
      <c r="D332" s="99">
        <f>SUM(D330:D331)</f>
        <v>82.5</v>
      </c>
      <c r="E332" s="100" t="s">
        <v>1</v>
      </c>
      <c r="F332" s="33"/>
      <c r="G332" s="32"/>
      <c r="H332" s="159"/>
    </row>
    <row r="333" spans="1:8" ht="24.95" customHeight="1">
      <c r="A333" s="10"/>
      <c r="B333" s="16"/>
      <c r="C333" s="98" t="s">
        <v>41</v>
      </c>
      <c r="D333" s="99">
        <f>D332+D329</f>
        <v>156.15</v>
      </c>
      <c r="E333" s="100" t="s">
        <v>1</v>
      </c>
      <c r="F333" s="33"/>
      <c r="G333" s="32"/>
      <c r="H333" s="159"/>
    </row>
    <row r="334" spans="1:8" s="8" customFormat="1" ht="24.95" customHeight="1">
      <c r="A334" s="109"/>
      <c r="B334" s="65"/>
      <c r="C334" s="65"/>
      <c r="D334" s="110"/>
      <c r="E334" s="111"/>
      <c r="F334" s="112"/>
      <c r="G334" s="32"/>
      <c r="H334" s="159"/>
    </row>
    <row r="335" spans="1:8" ht="24.95" customHeight="1">
      <c r="A335" s="10"/>
      <c r="B335" s="16" t="s">
        <v>105</v>
      </c>
      <c r="C335" s="12" t="s">
        <v>131</v>
      </c>
      <c r="D335" s="22">
        <f>D336</f>
        <v>360</v>
      </c>
      <c r="E335" s="23" t="s">
        <v>5</v>
      </c>
      <c r="F335" s="33"/>
      <c r="G335" s="32">
        <f>D335*F335</f>
        <v>0</v>
      </c>
      <c r="H335" s="159"/>
    </row>
    <row r="336" spans="1:8" ht="24.95" customHeight="1">
      <c r="A336" s="10"/>
      <c r="B336" s="16"/>
      <c r="C336" s="96" t="s">
        <v>275</v>
      </c>
      <c r="D336" s="102">
        <f>2*180</f>
        <v>360</v>
      </c>
      <c r="E336" s="97" t="s">
        <v>5</v>
      </c>
      <c r="F336" s="33"/>
      <c r="G336" s="32"/>
      <c r="H336" s="159"/>
    </row>
    <row r="337" spans="1:8" ht="24.95" customHeight="1">
      <c r="A337" s="20"/>
      <c r="B337" s="11"/>
      <c r="C337" s="11"/>
      <c r="D337" s="28"/>
      <c r="E337" s="29"/>
      <c r="F337" s="35"/>
      <c r="G337" s="32"/>
      <c r="H337" s="159"/>
    </row>
    <row r="338" spans="1:8" ht="24.95" customHeight="1">
      <c r="A338" s="10"/>
      <c r="B338" s="16" t="s">
        <v>106</v>
      </c>
      <c r="C338" s="12" t="s">
        <v>107</v>
      </c>
      <c r="D338" s="22">
        <f>D161+D159</f>
        <v>1892.02</v>
      </c>
      <c r="E338" s="23" t="s">
        <v>1</v>
      </c>
      <c r="F338" s="33"/>
      <c r="G338" s="32">
        <f>D338*F338</f>
        <v>0</v>
      </c>
      <c r="H338" s="159"/>
    </row>
    <row r="339" spans="1:8" ht="24.95" customHeight="1">
      <c r="A339" s="10"/>
      <c r="B339" s="16" t="s">
        <v>108</v>
      </c>
      <c r="C339" s="12" t="s">
        <v>109</v>
      </c>
      <c r="D339" s="22">
        <f>D338</f>
        <v>1892.02</v>
      </c>
      <c r="E339" s="23" t="s">
        <v>1</v>
      </c>
      <c r="F339" s="33"/>
      <c r="G339" s="32">
        <f>D339*F339</f>
        <v>0</v>
      </c>
      <c r="H339" s="159"/>
    </row>
    <row r="340" spans="1:8" ht="24.95" customHeight="1">
      <c r="A340" s="17"/>
      <c r="B340" s="18" t="s">
        <v>139</v>
      </c>
      <c r="C340" s="19" t="s">
        <v>34</v>
      </c>
      <c r="D340" s="26">
        <v>1</v>
      </c>
      <c r="E340" s="27" t="s">
        <v>35</v>
      </c>
      <c r="F340" s="34"/>
      <c r="G340" s="32">
        <f>D340*F340</f>
        <v>0</v>
      </c>
      <c r="H340" s="159"/>
    </row>
    <row r="341" spans="1:9" s="8" customFormat="1" ht="24.95" customHeight="1">
      <c r="A341" s="126"/>
      <c r="B341" s="127" t="s">
        <v>133</v>
      </c>
      <c r="C341" s="128" t="s">
        <v>132</v>
      </c>
      <c r="D341" s="66">
        <v>2</v>
      </c>
      <c r="E341" s="67" t="s">
        <v>2</v>
      </c>
      <c r="F341" s="36"/>
      <c r="G341" s="32">
        <f>D341*F341</f>
        <v>0</v>
      </c>
      <c r="H341" s="159"/>
      <c r="I341" s="8">
        <v>0.082</v>
      </c>
    </row>
    <row r="342" spans="1:8" s="8" customFormat="1" ht="24.95" customHeight="1">
      <c r="A342" s="13"/>
      <c r="B342" s="14" t="s">
        <v>11</v>
      </c>
      <c r="C342" s="15" t="s">
        <v>12</v>
      </c>
      <c r="D342" s="24">
        <f>D345</f>
        <v>331</v>
      </c>
      <c r="E342" s="25" t="s">
        <v>5</v>
      </c>
      <c r="F342" s="31"/>
      <c r="G342" s="32">
        <f>D342*F342</f>
        <v>0</v>
      </c>
      <c r="H342" s="159"/>
    </row>
    <row r="343" spans="1:8" ht="24.95" customHeight="1">
      <c r="A343" s="17"/>
      <c r="B343" s="106"/>
      <c r="C343" s="96" t="s">
        <v>140</v>
      </c>
      <c r="D343" s="102">
        <f>D67</f>
        <v>331</v>
      </c>
      <c r="E343" s="97" t="s">
        <v>5</v>
      </c>
      <c r="F343" s="34"/>
      <c r="G343" s="32"/>
      <c r="H343" s="159"/>
    </row>
    <row r="344" spans="1:8" ht="24.95" customHeight="1">
      <c r="A344" s="17"/>
      <c r="B344" s="106"/>
      <c r="C344" s="96" t="s">
        <v>280</v>
      </c>
      <c r="D344" s="102">
        <f>D78*0</f>
        <v>0</v>
      </c>
      <c r="E344" s="97" t="s">
        <v>5</v>
      </c>
      <c r="F344" s="34"/>
      <c r="G344" s="32"/>
      <c r="H344" s="159"/>
    </row>
    <row r="345" spans="1:8" ht="24.95" customHeight="1">
      <c r="A345" s="17"/>
      <c r="B345" s="106"/>
      <c r="C345" s="98" t="s">
        <v>41</v>
      </c>
      <c r="D345" s="99">
        <f>SUM(D343:D344)</f>
        <v>331</v>
      </c>
      <c r="E345" s="100" t="s">
        <v>5</v>
      </c>
      <c r="F345" s="34"/>
      <c r="G345" s="32"/>
      <c r="H345" s="159"/>
    </row>
    <row r="346" spans="1:8" s="8" customFormat="1" ht="24.95" customHeight="1">
      <c r="A346" s="13"/>
      <c r="B346" s="14"/>
      <c r="C346" s="15"/>
      <c r="D346" s="24"/>
      <c r="E346" s="25"/>
      <c r="F346" s="31"/>
      <c r="G346" s="32"/>
      <c r="H346" s="159"/>
    </row>
    <row r="347" spans="1:8" s="8" customFormat="1" ht="24.95" customHeight="1">
      <c r="A347" s="13"/>
      <c r="B347" s="14" t="s">
        <v>134</v>
      </c>
      <c r="C347" s="15" t="s">
        <v>135</v>
      </c>
      <c r="D347" s="24">
        <f>D8</f>
        <v>597.915</v>
      </c>
      <c r="E347" s="25" t="s">
        <v>1</v>
      </c>
      <c r="F347" s="31"/>
      <c r="G347" s="32">
        <f>D347*F347</f>
        <v>0</v>
      </c>
      <c r="H347" s="159"/>
    </row>
    <row r="348" spans="1:8" ht="24.95" customHeight="1">
      <c r="A348" s="10"/>
      <c r="B348" s="16" t="s">
        <v>112</v>
      </c>
      <c r="C348" s="12" t="s">
        <v>113</v>
      </c>
      <c r="D348" s="22">
        <f>D352</f>
        <v>104.5171575</v>
      </c>
      <c r="E348" s="23" t="s">
        <v>4</v>
      </c>
      <c r="F348" s="33"/>
      <c r="G348" s="32">
        <f>D348*F348</f>
        <v>0</v>
      </c>
      <c r="H348" s="159"/>
    </row>
    <row r="349" spans="1:8" ht="24.95" customHeight="1">
      <c r="A349" s="17"/>
      <c r="B349" s="106"/>
      <c r="C349" s="96" t="s">
        <v>141</v>
      </c>
      <c r="D349" s="102">
        <f>J51</f>
        <v>33.52595125</v>
      </c>
      <c r="E349" s="97" t="s">
        <v>4</v>
      </c>
      <c r="F349" s="34"/>
      <c r="G349" s="32"/>
      <c r="H349" s="159"/>
    </row>
    <row r="350" spans="1:8" ht="24.95" customHeight="1">
      <c r="A350" s="17"/>
      <c r="B350" s="106"/>
      <c r="C350" s="96" t="s">
        <v>142</v>
      </c>
      <c r="D350" s="102">
        <f>J48</f>
        <v>34.26685625</v>
      </c>
      <c r="E350" s="97" t="s">
        <v>4</v>
      </c>
      <c r="F350" s="34"/>
      <c r="G350" s="32"/>
      <c r="H350" s="159"/>
    </row>
    <row r="351" spans="1:8" ht="24.95" customHeight="1">
      <c r="A351" s="17"/>
      <c r="B351" s="106"/>
      <c r="C351" s="96" t="s">
        <v>143</v>
      </c>
      <c r="D351" s="102">
        <f>J29+J37</f>
        <v>36.72435</v>
      </c>
      <c r="E351" s="97" t="s">
        <v>4</v>
      </c>
      <c r="F351" s="34"/>
      <c r="G351" s="32"/>
      <c r="H351" s="159"/>
    </row>
    <row r="352" spans="1:8" ht="24.95" customHeight="1">
      <c r="A352" s="17"/>
      <c r="B352" s="106"/>
      <c r="C352" s="98" t="s">
        <v>41</v>
      </c>
      <c r="D352" s="99">
        <f>SUM(D349:D351)</f>
        <v>104.5171575</v>
      </c>
      <c r="E352" s="100" t="s">
        <v>4</v>
      </c>
      <c r="F352" s="34"/>
      <c r="G352" s="32"/>
      <c r="H352" s="159"/>
    </row>
    <row r="353" spans="1:8" ht="24.95" customHeight="1">
      <c r="A353" s="17"/>
      <c r="B353" s="106"/>
      <c r="C353" s="107"/>
      <c r="D353" s="144"/>
      <c r="E353" s="108"/>
      <c r="F353" s="34"/>
      <c r="G353" s="32"/>
      <c r="H353" s="159"/>
    </row>
    <row r="354" spans="1:8" ht="24.95" customHeight="1">
      <c r="A354" s="10"/>
      <c r="B354" s="16" t="s">
        <v>114</v>
      </c>
      <c r="C354" s="12" t="s">
        <v>115</v>
      </c>
      <c r="D354" s="22">
        <f>D348</f>
        <v>104.5171575</v>
      </c>
      <c r="E354" s="23" t="s">
        <v>4</v>
      </c>
      <c r="F354" s="33"/>
      <c r="G354" s="32">
        <f>D354*F354</f>
        <v>0</v>
      </c>
      <c r="H354" s="159"/>
    </row>
    <row r="355" spans="1:8" ht="24.95" customHeight="1">
      <c r="A355" s="10"/>
      <c r="B355" s="16" t="s">
        <v>116</v>
      </c>
      <c r="C355" s="12" t="s">
        <v>117</v>
      </c>
      <c r="D355" s="22">
        <f>D354*14</f>
        <v>1463.240205</v>
      </c>
      <c r="E355" s="23" t="s">
        <v>4</v>
      </c>
      <c r="F355" s="33"/>
      <c r="G355" s="32">
        <f>D355*F355</f>
        <v>0</v>
      </c>
      <c r="H355" s="159"/>
    </row>
    <row r="356" spans="1:8" ht="24.95" customHeight="1">
      <c r="A356" s="10"/>
      <c r="B356" s="16" t="s">
        <v>110</v>
      </c>
      <c r="C356" s="12" t="s">
        <v>111</v>
      </c>
      <c r="D356" s="22">
        <f>D359</f>
        <v>191.10344999999998</v>
      </c>
      <c r="E356" s="23" t="s">
        <v>4</v>
      </c>
      <c r="F356" s="33"/>
      <c r="G356" s="32">
        <f>D356*F356</f>
        <v>0</v>
      </c>
      <c r="H356" s="159"/>
    </row>
    <row r="357" spans="1:8" ht="24.95" customHeight="1">
      <c r="A357" s="17"/>
      <c r="B357" s="106"/>
      <c r="C357" s="96" t="s">
        <v>291</v>
      </c>
      <c r="D357" s="102">
        <f>J8</f>
        <v>137.52044999999998</v>
      </c>
      <c r="E357" s="97" t="s">
        <v>4</v>
      </c>
      <c r="F357" s="34"/>
      <c r="G357" s="32"/>
      <c r="H357" s="159"/>
    </row>
    <row r="358" spans="1:8" ht="24.95" customHeight="1">
      <c r="A358" s="17"/>
      <c r="B358" s="106"/>
      <c r="C358" s="96" t="s">
        <v>292</v>
      </c>
      <c r="D358" s="102">
        <f>(J67+J78)</f>
        <v>53.583</v>
      </c>
      <c r="E358" s="97" t="s">
        <v>4</v>
      </c>
      <c r="F358" s="34"/>
      <c r="G358" s="32"/>
      <c r="H358" s="159"/>
    </row>
    <row r="359" spans="1:8" ht="24.95" customHeight="1">
      <c r="A359" s="17"/>
      <c r="B359" s="106"/>
      <c r="C359" s="98" t="s">
        <v>41</v>
      </c>
      <c r="D359" s="99">
        <f>SUM(D357:D358)</f>
        <v>191.10344999999998</v>
      </c>
      <c r="E359" s="100" t="s">
        <v>4</v>
      </c>
      <c r="F359" s="34"/>
      <c r="G359" s="32"/>
      <c r="H359" s="159"/>
    </row>
    <row r="360" spans="1:8" ht="24.95" customHeight="1">
      <c r="A360" s="10"/>
      <c r="B360" s="16"/>
      <c r="C360" s="12"/>
      <c r="D360" s="22"/>
      <c r="E360" s="23"/>
      <c r="F360" s="33"/>
      <c r="G360" s="32"/>
      <c r="H360" s="159"/>
    </row>
    <row r="361" spans="1:8" ht="24.95" customHeight="1">
      <c r="A361" s="10"/>
      <c r="B361" s="16" t="s">
        <v>118</v>
      </c>
      <c r="C361" s="12" t="s">
        <v>119</v>
      </c>
      <c r="D361" s="22">
        <f>D356</f>
        <v>191.10344999999998</v>
      </c>
      <c r="E361" s="23" t="s">
        <v>4</v>
      </c>
      <c r="F361" s="33"/>
      <c r="G361" s="32">
        <f aca="true" t="shared" si="3" ref="G361:G374">D361*F361</f>
        <v>0</v>
      </c>
      <c r="H361" s="159"/>
    </row>
    <row r="362" spans="1:8" ht="24.95" customHeight="1">
      <c r="A362" s="10"/>
      <c r="B362" s="16"/>
      <c r="C362" s="96" t="s">
        <v>291</v>
      </c>
      <c r="D362" s="102">
        <f>D357</f>
        <v>137.52044999999998</v>
      </c>
      <c r="E362" s="97" t="s">
        <v>4</v>
      </c>
      <c r="F362" s="33"/>
      <c r="G362" s="32"/>
      <c r="H362" s="159"/>
    </row>
    <row r="363" spans="1:8" ht="24.95" customHeight="1">
      <c r="A363" s="10"/>
      <c r="B363" s="16"/>
      <c r="C363" s="96" t="s">
        <v>292</v>
      </c>
      <c r="D363" s="102">
        <f>D358</f>
        <v>53.583</v>
      </c>
      <c r="E363" s="97" t="s">
        <v>4</v>
      </c>
      <c r="F363" s="33"/>
      <c r="G363" s="32"/>
      <c r="H363" s="159"/>
    </row>
    <row r="364" spans="1:8" ht="24.95" customHeight="1">
      <c r="A364" s="10"/>
      <c r="B364" s="16"/>
      <c r="C364" s="98" t="s">
        <v>41</v>
      </c>
      <c r="D364" s="99">
        <f>SUM(D362:D363)</f>
        <v>191.10344999999998</v>
      </c>
      <c r="E364" s="100" t="s">
        <v>4</v>
      </c>
      <c r="F364" s="33"/>
      <c r="G364" s="32"/>
      <c r="H364" s="159"/>
    </row>
    <row r="365" spans="1:8" ht="24.95" customHeight="1">
      <c r="A365" s="10"/>
      <c r="B365" s="16"/>
      <c r="C365" s="12"/>
      <c r="D365" s="22"/>
      <c r="E365" s="23"/>
      <c r="F365" s="33"/>
      <c r="G365" s="32"/>
      <c r="H365" s="159"/>
    </row>
    <row r="366" spans="1:8" ht="24.95" customHeight="1">
      <c r="A366" s="10"/>
      <c r="B366" s="16" t="s">
        <v>120</v>
      </c>
      <c r="C366" s="12" t="s">
        <v>121</v>
      </c>
      <c r="D366" s="22">
        <f>D369*14</f>
        <v>668.8620749999999</v>
      </c>
      <c r="E366" s="23" t="s">
        <v>4</v>
      </c>
      <c r="F366" s="33"/>
      <c r="G366" s="32">
        <f t="shared" si="3"/>
        <v>0</v>
      </c>
      <c r="H366" s="159"/>
    </row>
    <row r="367" spans="1:8" ht="24.95" customHeight="1">
      <c r="A367" s="10"/>
      <c r="B367" s="16"/>
      <c r="C367" s="96" t="s">
        <v>290</v>
      </c>
      <c r="D367" s="102">
        <f>D362/4</f>
        <v>34.380112499999996</v>
      </c>
      <c r="E367" s="97" t="s">
        <v>4</v>
      </c>
      <c r="F367" s="33"/>
      <c r="G367" s="32"/>
      <c r="H367" s="159"/>
    </row>
    <row r="368" spans="1:8" ht="24.95" customHeight="1">
      <c r="A368" s="10"/>
      <c r="B368" s="16"/>
      <c r="C368" s="96" t="s">
        <v>293</v>
      </c>
      <c r="D368" s="102">
        <f>D363/4</f>
        <v>13.39575</v>
      </c>
      <c r="E368" s="97" t="s">
        <v>4</v>
      </c>
      <c r="F368" s="33"/>
      <c r="G368" s="32"/>
      <c r="H368" s="159"/>
    </row>
    <row r="369" spans="1:8" ht="24.95" customHeight="1">
      <c r="A369" s="10"/>
      <c r="B369" s="16"/>
      <c r="C369" s="98" t="s">
        <v>41</v>
      </c>
      <c r="D369" s="99">
        <f>SUM(D367:D368)</f>
        <v>47.775862499999995</v>
      </c>
      <c r="E369" s="100" t="s">
        <v>4</v>
      </c>
      <c r="F369" s="33"/>
      <c r="G369" s="32"/>
      <c r="H369" s="159"/>
    </row>
    <row r="370" spans="1:8" ht="24.95" customHeight="1">
      <c r="A370" s="10"/>
      <c r="B370" s="16"/>
      <c r="C370" s="98"/>
      <c r="D370" s="99"/>
      <c r="E370" s="100"/>
      <c r="F370" s="33"/>
      <c r="G370" s="32"/>
      <c r="H370" s="159"/>
    </row>
    <row r="371" spans="1:8" ht="24.95" customHeight="1">
      <c r="A371" s="10"/>
      <c r="B371" s="16" t="s">
        <v>136</v>
      </c>
      <c r="C371" s="12" t="s">
        <v>22</v>
      </c>
      <c r="D371" s="22">
        <f>D350</f>
        <v>34.26685625</v>
      </c>
      <c r="E371" s="23" t="s">
        <v>4</v>
      </c>
      <c r="F371" s="33"/>
      <c r="G371" s="32">
        <f t="shared" si="3"/>
        <v>0</v>
      </c>
      <c r="H371" s="159"/>
    </row>
    <row r="372" spans="1:8" ht="24.95" customHeight="1">
      <c r="A372" s="10"/>
      <c r="B372" s="16" t="s">
        <v>137</v>
      </c>
      <c r="C372" s="12" t="s">
        <v>23</v>
      </c>
      <c r="D372" s="22">
        <f>D349</f>
        <v>33.52595125</v>
      </c>
      <c r="E372" s="23" t="s">
        <v>4</v>
      </c>
      <c r="F372" s="33"/>
      <c r="G372" s="32">
        <f t="shared" si="3"/>
        <v>0</v>
      </c>
      <c r="H372" s="159"/>
    </row>
    <row r="373" spans="1:8" ht="24.95" customHeight="1">
      <c r="A373" s="10"/>
      <c r="B373" s="16" t="s">
        <v>122</v>
      </c>
      <c r="C373" s="12" t="s">
        <v>123</v>
      </c>
      <c r="D373" s="22">
        <f>D351</f>
        <v>36.72435</v>
      </c>
      <c r="E373" s="23" t="s">
        <v>4</v>
      </c>
      <c r="F373" s="33"/>
      <c r="G373" s="32">
        <f t="shared" si="3"/>
        <v>0</v>
      </c>
      <c r="H373" s="159"/>
    </row>
    <row r="374" spans="1:8" ht="24.95" customHeight="1">
      <c r="A374" s="10"/>
      <c r="B374" s="16" t="s">
        <v>138</v>
      </c>
      <c r="C374" s="12" t="s">
        <v>21</v>
      </c>
      <c r="D374" s="22">
        <f>D369</f>
        <v>47.775862499999995</v>
      </c>
      <c r="E374" s="23" t="s">
        <v>4</v>
      </c>
      <c r="F374" s="33"/>
      <c r="G374" s="32">
        <f t="shared" si="3"/>
        <v>0</v>
      </c>
      <c r="H374" s="159"/>
    </row>
    <row r="375" spans="1:8" ht="24.95" customHeight="1">
      <c r="A375" s="151"/>
      <c r="B375" s="152"/>
      <c r="C375" s="96" t="s">
        <v>290</v>
      </c>
      <c r="D375" s="102">
        <f>D367</f>
        <v>34.380112499999996</v>
      </c>
      <c r="E375" s="97" t="s">
        <v>4</v>
      </c>
      <c r="F375" s="153"/>
      <c r="G375" s="154"/>
      <c r="H375" s="159"/>
    </row>
    <row r="376" spans="1:8" ht="24.95" customHeight="1">
      <c r="A376" s="151"/>
      <c r="B376" s="152"/>
      <c r="C376" s="96" t="s">
        <v>293</v>
      </c>
      <c r="D376" s="102">
        <f>D368</f>
        <v>13.39575</v>
      </c>
      <c r="E376" s="97" t="s">
        <v>4</v>
      </c>
      <c r="F376" s="153"/>
      <c r="G376" s="154"/>
      <c r="H376" s="159"/>
    </row>
    <row r="377" spans="1:8" ht="24.95" customHeight="1">
      <c r="A377" s="151"/>
      <c r="B377" s="152"/>
      <c r="C377" s="98" t="s">
        <v>41</v>
      </c>
      <c r="D377" s="99">
        <f>SUM(D375:D376)</f>
        <v>47.775862499999995</v>
      </c>
      <c r="E377" s="100" t="s">
        <v>4</v>
      </c>
      <c r="F377" s="153"/>
      <c r="G377" s="154"/>
      <c r="H377" s="159"/>
    </row>
    <row r="378" spans="1:8" ht="24.95" customHeight="1">
      <c r="A378" s="92"/>
      <c r="B378" s="49">
        <v>9</v>
      </c>
      <c r="C378" s="50" t="s">
        <v>74</v>
      </c>
      <c r="D378" s="51"/>
      <c r="E378" s="52"/>
      <c r="F378" s="53"/>
      <c r="G378" s="54">
        <f>SUM(G286:G374)</f>
        <v>0</v>
      </c>
      <c r="H378" s="158"/>
    </row>
    <row r="379" spans="1:8" ht="24.95" customHeight="1">
      <c r="A379" s="92"/>
      <c r="B379" s="49"/>
      <c r="C379" s="50"/>
      <c r="D379" s="51"/>
      <c r="E379" s="52"/>
      <c r="F379" s="53"/>
      <c r="G379" s="54"/>
      <c r="H379" s="158"/>
    </row>
    <row r="380" spans="1:8" ht="24.95" customHeight="1">
      <c r="A380" s="92"/>
      <c r="B380" s="49"/>
      <c r="C380" s="50" t="s">
        <v>75</v>
      </c>
      <c r="D380" s="51"/>
      <c r="E380" s="52"/>
      <c r="F380" s="53"/>
      <c r="G380" s="54"/>
      <c r="H380" s="158"/>
    </row>
    <row r="381" spans="1:8" ht="24.95" customHeight="1">
      <c r="A381" s="93"/>
      <c r="B381" s="72" t="s">
        <v>86</v>
      </c>
      <c r="C381" s="73" t="s">
        <v>87</v>
      </c>
      <c r="D381" s="68">
        <v>812.73</v>
      </c>
      <c r="E381" s="69" t="s">
        <v>4</v>
      </c>
      <c r="F381" s="70"/>
      <c r="G381" s="71">
        <f>D381*F381</f>
        <v>0</v>
      </c>
      <c r="H381" s="161"/>
    </row>
    <row r="382" spans="1:8" ht="24.95" customHeight="1">
      <c r="A382" s="92"/>
      <c r="B382" s="49"/>
      <c r="C382" s="50" t="s">
        <v>76</v>
      </c>
      <c r="D382" s="51"/>
      <c r="E382" s="52"/>
      <c r="F382" s="53"/>
      <c r="G382" s="54">
        <f>G381</f>
        <v>0</v>
      </c>
      <c r="H382" s="158"/>
    </row>
    <row r="383" spans="1:8" ht="24.95" customHeight="1">
      <c r="A383" s="92"/>
      <c r="B383" s="49"/>
      <c r="C383" s="50"/>
      <c r="D383" s="51"/>
      <c r="E383" s="52"/>
      <c r="F383" s="53"/>
      <c r="G383" s="54"/>
      <c r="H383" s="158"/>
    </row>
    <row r="384" spans="1:8" ht="24.95" customHeight="1">
      <c r="A384" s="92"/>
      <c r="B384" s="49" t="s">
        <v>53</v>
      </c>
      <c r="C384" s="50" t="s">
        <v>54</v>
      </c>
      <c r="D384" s="51"/>
      <c r="E384" s="52"/>
      <c r="F384" s="53"/>
      <c r="G384" s="54"/>
      <c r="H384" s="158"/>
    </row>
    <row r="385" spans="1:8" ht="24.95" customHeight="1">
      <c r="A385" s="17"/>
      <c r="B385" s="21" t="s">
        <v>25</v>
      </c>
      <c r="C385" s="21" t="s">
        <v>26</v>
      </c>
      <c r="D385" s="26">
        <v>1</v>
      </c>
      <c r="E385" s="27" t="s">
        <v>51</v>
      </c>
      <c r="F385" s="36"/>
      <c r="G385" s="32">
        <f>D385*F385</f>
        <v>0</v>
      </c>
      <c r="H385" s="159"/>
    </row>
    <row r="386" spans="1:8" ht="24.95" customHeight="1">
      <c r="A386" s="17"/>
      <c r="B386" s="21" t="s">
        <v>27</v>
      </c>
      <c r="C386" s="21" t="s">
        <v>28</v>
      </c>
      <c r="D386" s="26">
        <v>1</v>
      </c>
      <c r="E386" s="27" t="s">
        <v>51</v>
      </c>
      <c r="F386" s="36"/>
      <c r="G386" s="32">
        <f aca="true" t="shared" si="4" ref="G386:G391">D386*F386</f>
        <v>0</v>
      </c>
      <c r="H386" s="159"/>
    </row>
    <row r="387" spans="1:8" ht="24.95" customHeight="1">
      <c r="A387" s="17"/>
      <c r="B387" s="21" t="s">
        <v>91</v>
      </c>
      <c r="C387" s="65" t="s">
        <v>50</v>
      </c>
      <c r="D387" s="66">
        <v>1</v>
      </c>
      <c r="E387" s="67" t="s">
        <v>51</v>
      </c>
      <c r="F387" s="36"/>
      <c r="G387" s="32">
        <f t="shared" si="4"/>
        <v>0</v>
      </c>
      <c r="H387" s="159"/>
    </row>
    <row r="388" spans="1:8" ht="24.95" customHeight="1">
      <c r="A388" s="17"/>
      <c r="B388" s="21" t="s">
        <v>29</v>
      </c>
      <c r="C388" s="21" t="s">
        <v>305</v>
      </c>
      <c r="D388" s="26">
        <v>1</v>
      </c>
      <c r="E388" s="27" t="s">
        <v>51</v>
      </c>
      <c r="F388" s="36"/>
      <c r="G388" s="32">
        <f t="shared" si="4"/>
        <v>0</v>
      </c>
      <c r="H388" s="159"/>
    </row>
    <row r="389" spans="1:8" ht="24.95" customHeight="1">
      <c r="A389" s="17"/>
      <c r="B389" s="21" t="s">
        <v>30</v>
      </c>
      <c r="C389" s="21" t="s">
        <v>306</v>
      </c>
      <c r="D389" s="26">
        <v>1</v>
      </c>
      <c r="E389" s="27" t="s">
        <v>51</v>
      </c>
      <c r="F389" s="36"/>
      <c r="G389" s="32">
        <f t="shared" si="4"/>
        <v>0</v>
      </c>
      <c r="H389" s="159"/>
    </row>
    <row r="390" spans="1:8" ht="24.95" customHeight="1">
      <c r="A390" s="17"/>
      <c r="B390" s="21" t="s">
        <v>31</v>
      </c>
      <c r="C390" s="21" t="s">
        <v>32</v>
      </c>
      <c r="D390" s="26">
        <v>1</v>
      </c>
      <c r="E390" s="27" t="s">
        <v>51</v>
      </c>
      <c r="F390" s="36"/>
      <c r="G390" s="32">
        <f t="shared" si="4"/>
        <v>0</v>
      </c>
      <c r="H390" s="159"/>
    </row>
    <row r="391" spans="1:8" ht="24.95" customHeight="1">
      <c r="A391" s="17"/>
      <c r="B391" s="21" t="s">
        <v>294</v>
      </c>
      <c r="C391" s="21" t="s">
        <v>52</v>
      </c>
      <c r="D391" s="26">
        <v>5</v>
      </c>
      <c r="E391" s="27" t="s">
        <v>33</v>
      </c>
      <c r="F391" s="36">
        <f>(G149+G272+G283+G378+G382)/100</f>
        <v>0</v>
      </c>
      <c r="G391" s="32">
        <f t="shared" si="4"/>
        <v>0</v>
      </c>
      <c r="H391" s="159"/>
    </row>
    <row r="392" spans="1:8" ht="24.95" customHeight="1" thickBot="1">
      <c r="A392" s="94"/>
      <c r="B392" s="74" t="s">
        <v>53</v>
      </c>
      <c r="C392" s="75" t="s">
        <v>55</v>
      </c>
      <c r="D392" s="76"/>
      <c r="E392" s="77"/>
      <c r="F392" s="78"/>
      <c r="G392" s="79">
        <f>SUM(G385:G391)</f>
        <v>0</v>
      </c>
      <c r="H392" s="158"/>
    </row>
    <row r="393" spans="1:12" ht="24.95" customHeight="1" thickBot="1">
      <c r="A393" s="147" t="s">
        <v>318</v>
      </c>
      <c r="B393" s="148"/>
      <c r="C393" s="80"/>
      <c r="D393" s="149"/>
      <c r="E393" s="80"/>
      <c r="F393" s="150"/>
      <c r="G393" s="81">
        <f>G392+G382+G378++G283+G272+G149</f>
        <v>0</v>
      </c>
      <c r="H393" s="39"/>
      <c r="L393" s="7">
        <f>SUM(L6:L392)*0.75</f>
        <v>642.6278447785251</v>
      </c>
    </row>
    <row r="394" spans="1:12" ht="24.95" customHeight="1" thickBot="1">
      <c r="A394" s="147" t="s">
        <v>319</v>
      </c>
      <c r="B394" s="148"/>
      <c r="C394" s="80"/>
      <c r="D394" s="149"/>
      <c r="E394" s="80"/>
      <c r="F394" s="150"/>
      <c r="G394" s="81">
        <f>G393*21%</f>
        <v>0</v>
      </c>
      <c r="H394" s="39"/>
      <c r="L394" s="7">
        <f aca="true" t="shared" si="5" ref="L394:L395">SUM(L7:L393)*0.75</f>
        <v>1124.598728362419</v>
      </c>
    </row>
    <row r="395" spans="1:12" ht="24.95" customHeight="1" thickBot="1">
      <c r="A395" s="147" t="s">
        <v>320</v>
      </c>
      <c r="B395" s="148"/>
      <c r="C395" s="80"/>
      <c r="D395" s="149"/>
      <c r="E395" s="80"/>
      <c r="F395" s="150"/>
      <c r="G395" s="81">
        <f>G393+G394</f>
        <v>0</v>
      </c>
      <c r="H395" s="39"/>
      <c r="L395" s="7">
        <f t="shared" si="5"/>
        <v>1968.047774634233</v>
      </c>
    </row>
    <row r="396" spans="1:8" ht="13.5">
      <c r="A396" s="95"/>
      <c r="B396" s="3"/>
      <c r="C396" s="4"/>
      <c r="D396" s="5"/>
      <c r="E396" s="6"/>
      <c r="F396" s="38"/>
      <c r="G396" s="39"/>
      <c r="H396" s="39"/>
    </row>
    <row r="397" spans="1:8" ht="13.5">
      <c r="A397" s="95"/>
      <c r="B397" s="3"/>
      <c r="C397" s="4"/>
      <c r="D397" s="5"/>
      <c r="E397" s="6"/>
      <c r="F397" s="38"/>
      <c r="G397" s="39"/>
      <c r="H397" s="39"/>
    </row>
    <row r="398" spans="1:8" ht="13.5">
      <c r="A398" s="95"/>
      <c r="B398" s="3"/>
      <c r="C398" s="4"/>
      <c r="D398" s="5"/>
      <c r="E398" s="6"/>
      <c r="F398" s="38"/>
      <c r="G398" s="39"/>
      <c r="H398" s="39"/>
    </row>
    <row r="399" spans="1:8" ht="13.5">
      <c r="A399" s="95"/>
      <c r="B399" s="3"/>
      <c r="C399" s="4"/>
      <c r="D399" s="5"/>
      <c r="E399" s="6"/>
      <c r="F399" s="38"/>
      <c r="G399" s="39"/>
      <c r="H399" s="39"/>
    </row>
    <row r="400" spans="1:8" ht="13.5">
      <c r="A400" s="95"/>
      <c r="B400" s="3"/>
      <c r="C400" s="4"/>
      <c r="D400" s="5"/>
      <c r="E400" s="6"/>
      <c r="F400" s="38"/>
      <c r="G400" s="39"/>
      <c r="H400" s="39"/>
    </row>
    <row r="401" spans="1:8" ht="13.5">
      <c r="A401" s="95"/>
      <c r="B401" s="3"/>
      <c r="C401" s="4"/>
      <c r="D401" s="5"/>
      <c r="E401" s="6"/>
      <c r="F401" s="38"/>
      <c r="G401" s="39"/>
      <c r="H401" s="39"/>
    </row>
    <row r="402" spans="1:8" ht="13.5">
      <c r="A402" s="95"/>
      <c r="B402" s="3"/>
      <c r="C402" s="4"/>
      <c r="D402" s="5"/>
      <c r="E402" s="6"/>
      <c r="F402" s="38"/>
      <c r="G402" s="39"/>
      <c r="H402" s="39"/>
    </row>
    <row r="403" spans="1:8" ht="13.5">
      <c r="A403" s="95"/>
      <c r="B403" s="3"/>
      <c r="C403" s="4"/>
      <c r="D403" s="5"/>
      <c r="E403" s="6"/>
      <c r="F403" s="38"/>
      <c r="G403" s="39"/>
      <c r="H403" s="39"/>
    </row>
    <row r="404" spans="1:8" ht="13.5">
      <c r="A404" s="95"/>
      <c r="B404" s="3"/>
      <c r="C404" s="4"/>
      <c r="D404" s="5"/>
      <c r="E404" s="6"/>
      <c r="F404" s="38"/>
      <c r="G404" s="39"/>
      <c r="H404" s="39"/>
    </row>
    <row r="405" spans="1:8" ht="13.5">
      <c r="A405" s="95"/>
      <c r="B405" s="3"/>
      <c r="C405" s="4"/>
      <c r="D405" s="5"/>
      <c r="E405" s="6"/>
      <c r="F405" s="38"/>
      <c r="G405" s="39"/>
      <c r="H405" s="39"/>
    </row>
    <row r="406" spans="1:8" ht="13.5">
      <c r="A406" s="95"/>
      <c r="B406" s="3"/>
      <c r="C406" s="4"/>
      <c r="D406" s="5"/>
      <c r="E406" s="6"/>
      <c r="F406" s="38"/>
      <c r="G406" s="39"/>
      <c r="H406" s="39"/>
    </row>
    <row r="407" spans="1:8" ht="13.5">
      <c r="A407" s="95"/>
      <c r="B407" s="3"/>
      <c r="C407" s="4"/>
      <c r="D407" s="5"/>
      <c r="E407" s="6"/>
      <c r="F407" s="38"/>
      <c r="G407" s="39"/>
      <c r="H407" s="39"/>
    </row>
    <row r="408" spans="1:8" ht="13.5">
      <c r="A408" s="95"/>
      <c r="B408" s="3"/>
      <c r="C408" s="4"/>
      <c r="D408" s="5"/>
      <c r="E408" s="6"/>
      <c r="F408" s="38"/>
      <c r="G408" s="39"/>
      <c r="H408" s="39"/>
    </row>
  </sheetData>
  <mergeCells count="3">
    <mergeCell ref="A1:G1"/>
    <mergeCell ref="A2:G2"/>
    <mergeCell ref="A4:G4"/>
  </mergeCells>
  <printOptions horizontalCentered="1"/>
  <pageMargins left="0.2362204724409449" right="0.2362204724409449" top="0.1968503937007874" bottom="0.3937007874015748" header="0.31496062992125984" footer="0.31496062992125984"/>
  <pageSetup fitToHeight="8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Matyas</dc:creator>
  <cp:keywords/>
  <dc:description/>
  <cp:lastModifiedBy>Cermak Petr</cp:lastModifiedBy>
  <cp:lastPrinted>2019-10-04T11:19:07Z</cp:lastPrinted>
  <dcterms:created xsi:type="dcterms:W3CDTF">2015-04-14T13:28:17Z</dcterms:created>
  <dcterms:modified xsi:type="dcterms:W3CDTF">2019-10-11T11:08:22Z</dcterms:modified>
  <cp:category/>
  <cp:version/>
  <cp:contentType/>
  <cp:contentStatus/>
</cp:coreProperties>
</file>