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<sst xmlns="http://schemas.openxmlformats.org/spreadsheetml/2006/main" count="1405" uniqueCount="471">
  <si>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</si>
  <si>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</si>
  <si>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</si>
  <si>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</si>
  <si>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</si>
  <si>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</si>
  <si>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</si>
  <si>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</si>
  <si>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</si>
  <si>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</si>
  <si>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</si>
  <si>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</si>
  <si>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</si>
  <si>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</si>
  <si>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</si>
  <si>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</si>
  <si>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</si>
  <si>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</si>
  <si>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</si>
  <si>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</si>
  <si>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</si>
  <si>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</si>
  <si>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</si>
  <si>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</si>
  <si>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</si>
  <si>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</si>
  <si>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</si>
  <si>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</si>
  <si>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</si>
  <si>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</si>
  <si>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</si>
  <si>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</si>
  <si>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</si>
  <si>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</si>
  <si>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</si>
  <si>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</si>
  <si>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</si>
  <si>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</si>
  <si>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</si>
  <si>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</si>
  <si>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</si>
  <si>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</si>
  <si>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</si>
  <si>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</si>
  <si>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</si>
  <si>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</si>
  <si>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</si>
  <si>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</si>
  <si>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</si>
  <si>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</si>
  <si>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</si>
  <si>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</si>
  <si>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</si>
  <si>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</si>
  <si>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</si>
  <si>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</si>
  <si>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</si>
  <si>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</si>
  <si>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</si>
  <si>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</si>
  <si>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</si>
  <si>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</si>
  <si>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</si>
  <si>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</si>
  <si>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</si>
  <si>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</si>
  <si>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</si>
  <si>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</si>
  <si>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</si>
  <si>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</si>
  <si>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</si>
  <si>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</si>
  <si>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</si>
  <si>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</si>
  <si>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</si>
  <si>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</si>
  <si>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</si>
  <si>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</si>
  <si>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</si>
  <si>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</si>
  <si>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</si>
  <si>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</si>
  <si>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</si>
  <si>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</si>
  <si>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</si>
  <si>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</si>
  <si>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</si>
  <si>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</si>
  <si>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Poznámka:</t>
  </si>
  <si>
    <t>Objekt</t>
  </si>
  <si>
    <t>SO01</t>
  </si>
  <si>
    <t>Kód</t>
  </si>
  <si>
    <t>0</t>
  </si>
  <si>
    <t>003VD</t>
  </si>
  <si>
    <t>004VD</t>
  </si>
  <si>
    <t>113107630R00</t>
  </si>
  <si>
    <t>113108410R00</t>
  </si>
  <si>
    <t>113202111R00</t>
  </si>
  <si>
    <t>113203111R00</t>
  </si>
  <si>
    <t>113107315R00</t>
  </si>
  <si>
    <t>113106121R00</t>
  </si>
  <si>
    <t>122201102R00</t>
  </si>
  <si>
    <t>122201109R00</t>
  </si>
  <si>
    <t>132201112R00</t>
  </si>
  <si>
    <t>130001101R00</t>
  </si>
  <si>
    <t>161101101R00</t>
  </si>
  <si>
    <t>162701105R00</t>
  </si>
  <si>
    <t>174101101R00</t>
  </si>
  <si>
    <t>175101101RT2</t>
  </si>
  <si>
    <t>181101102R00</t>
  </si>
  <si>
    <t>199000005R00</t>
  </si>
  <si>
    <t>212752112R00</t>
  </si>
  <si>
    <t>28611223.A</t>
  </si>
  <si>
    <t>275313711R00</t>
  </si>
  <si>
    <t>451572111RL2</t>
  </si>
  <si>
    <t>564851111R00</t>
  </si>
  <si>
    <t>564861111R00</t>
  </si>
  <si>
    <t>564871111R00</t>
  </si>
  <si>
    <t>567122111R00</t>
  </si>
  <si>
    <t>564782111R00</t>
  </si>
  <si>
    <t>581142111R00</t>
  </si>
  <si>
    <t>581114115R00</t>
  </si>
  <si>
    <t>596215040R00</t>
  </si>
  <si>
    <t>59245283</t>
  </si>
  <si>
    <t>59245264</t>
  </si>
  <si>
    <t>596215021R00</t>
  </si>
  <si>
    <t>59245308</t>
  </si>
  <si>
    <t>597101114RT1</t>
  </si>
  <si>
    <t>87</t>
  </si>
  <si>
    <t>871313121R00</t>
  </si>
  <si>
    <t>28611262.A</t>
  </si>
  <si>
    <t>89</t>
  </si>
  <si>
    <t>899431111R00</t>
  </si>
  <si>
    <t>91</t>
  </si>
  <si>
    <t>914001111R00</t>
  </si>
  <si>
    <t>40445920</t>
  </si>
  <si>
    <t>404459516</t>
  </si>
  <si>
    <t>40445217</t>
  </si>
  <si>
    <t>919735112R00</t>
  </si>
  <si>
    <t>914992001R00</t>
  </si>
  <si>
    <t>914991001R00</t>
  </si>
  <si>
    <t>914993001R00</t>
  </si>
  <si>
    <t>916991191R00</t>
  </si>
  <si>
    <t>917862111R00</t>
  </si>
  <si>
    <t>59217472</t>
  </si>
  <si>
    <t>59217476</t>
  </si>
  <si>
    <t>59217480</t>
  </si>
  <si>
    <t>59217481</t>
  </si>
  <si>
    <t>59217469</t>
  </si>
  <si>
    <t>93</t>
  </si>
  <si>
    <t>931627111R00</t>
  </si>
  <si>
    <t>H22</t>
  </si>
  <si>
    <t>998222012R00</t>
  </si>
  <si>
    <t>998222094R00</t>
  </si>
  <si>
    <t>998223011R00</t>
  </si>
  <si>
    <t>998223094R00</t>
  </si>
  <si>
    <t>998224111R00</t>
  </si>
  <si>
    <t>998224195R00</t>
  </si>
  <si>
    <t>H27</t>
  </si>
  <si>
    <t>998276118R00</t>
  </si>
  <si>
    <t>M23</t>
  </si>
  <si>
    <t>230191029R00</t>
  </si>
  <si>
    <t>3457114727</t>
  </si>
  <si>
    <t>M46</t>
  </si>
  <si>
    <t>460620006RT1</t>
  </si>
  <si>
    <t>460010011R00</t>
  </si>
  <si>
    <t>460010022R00</t>
  </si>
  <si>
    <t>460420018RT1</t>
  </si>
  <si>
    <t>S</t>
  </si>
  <si>
    <t>979087113R00</t>
  </si>
  <si>
    <t>979083117R00</t>
  </si>
  <si>
    <t>979083191R00</t>
  </si>
  <si>
    <t>979093111R00</t>
  </si>
  <si>
    <t>979990121R00</t>
  </si>
  <si>
    <t>979990103R00</t>
  </si>
  <si>
    <t>286982311</t>
  </si>
  <si>
    <t>28697475</t>
  </si>
  <si>
    <t>28698351</t>
  </si>
  <si>
    <t>28698000</t>
  </si>
  <si>
    <t>28698031</t>
  </si>
  <si>
    <t>28698012</t>
  </si>
  <si>
    <t>Místní komunikace</t>
  </si>
  <si>
    <t>Zkrácený popis</t>
  </si>
  <si>
    <t>Rozměry</t>
  </si>
  <si>
    <t>Komunikace</t>
  </si>
  <si>
    <t>Všeobecné konstrukce a práce</t>
  </si>
  <si>
    <t>Geodetické zaměření stavby - skutečné provedení</t>
  </si>
  <si>
    <t>Dopravně inženýrské opatření během realizace stavby (projektová dokumentace+materiál-SDZ+vyřízení)</t>
  </si>
  <si>
    <t>Přípravné a přidružené práce</t>
  </si>
  <si>
    <t>Odstranění podkladu nad 50 m2,kam.drcené tl.30 cm</t>
  </si>
  <si>
    <t>Odstranění asfaltové vrstvy pl.nad 50 m2, tl.10 cm</t>
  </si>
  <si>
    <t>163,5+96,55+97,9+195,15</t>
  </si>
  <si>
    <t>Vytrhání obrub obrubníků silničních</t>
  </si>
  <si>
    <t>Vytrhání obrub z dlažebních kostek</t>
  </si>
  <si>
    <t>Odstranění podkladu pl. 50 m2,kam.těžené tl.15 cm</t>
  </si>
  <si>
    <t>45*2</t>
  </si>
  <si>
    <t>Rozebrání dlažeb z betonových dlaždic na sucho</t>
  </si>
  <si>
    <t>38*2</t>
  </si>
  <si>
    <t>Odkopávky a prokopávky</t>
  </si>
  <si>
    <t>Odkopávky nezapažené v hor. 3 do 1000 m3 (komunikace)</t>
  </si>
  <si>
    <t>5,5*80*0,1</t>
  </si>
  <si>
    <t>593,4*0,3   Výměna podloží</t>
  </si>
  <si>
    <t>Příplatek za lepivost - odkopávky v hor. 3</t>
  </si>
  <si>
    <t>Hloubené vykopávky</t>
  </si>
  <si>
    <t>Hloubení rýh š.do 60 cm v hor.3 do 100 m3    (drenáže+přeložka CETIN)</t>
  </si>
  <si>
    <t>80*0,5*0,25+(20*0,35*0,6)</t>
  </si>
  <si>
    <t>Příplatek za ztížené hloubení v blízkosti vedení</t>
  </si>
  <si>
    <t>10+(20*0,35*0,6)</t>
  </si>
  <si>
    <t>Přemístění výkopku</t>
  </si>
  <si>
    <t>Svislé přemístění výkopku z hor.1-4 do 2,5 m</t>
  </si>
  <si>
    <t>222,02+14,2</t>
  </si>
  <si>
    <t>Vodorovné přemístění výkopku z hor.1-4 do 10000 m</t>
  </si>
  <si>
    <t>232,02+(20*0,35*0,15)</t>
  </si>
  <si>
    <t>Konstrukce ze zemin</t>
  </si>
  <si>
    <t>Zásyp jam, rýh, šachet se zhutněním - přeložka</t>
  </si>
  <si>
    <t>20*0,35*0,45</t>
  </si>
  <si>
    <t>Obsyp potrubí bez prohození sypaniny s dodáním prosívky, s dodáním štěrkopísku frakce 0 - 22 mm</t>
  </si>
  <si>
    <t>45*0,6*0,5</t>
  </si>
  <si>
    <t>Povrchové úpravy terénu</t>
  </si>
  <si>
    <t>Úprava pláně v zářezech v hor. 1-4, se zhutněním</t>
  </si>
  <si>
    <t>593,4   Komunikace</t>
  </si>
  <si>
    <t>8,1*2,15+3,2*2+13,3+12,4+12+17,7   Vjezdy</t>
  </si>
  <si>
    <t>80,6*2*0,3   Rozšíření komunikace</t>
  </si>
  <si>
    <t>Hloubení pro podzemní stěny, ražení a hloubení důlní</t>
  </si>
  <si>
    <t>Poplatek za skládku zeminy 1- 4</t>
  </si>
  <si>
    <t>232,02*1,7</t>
  </si>
  <si>
    <t>Úprava podloží a základové spáry</t>
  </si>
  <si>
    <t>Trativody z drenážních trubek, lože, DN 100 mm, vč. podsypu a obsypu z kam. fr. 16-32</t>
  </si>
  <si>
    <t>Trubka PVC drenážní flexibilní d 100 mm</t>
  </si>
  <si>
    <t>Základy</t>
  </si>
  <si>
    <t>Beton základových patek prostý C 25/30 (B 30)</t>
  </si>
  <si>
    <t>0,4*0,4*0,5*1</t>
  </si>
  <si>
    <t>Podkladní a vedlejší konstrukce (kromě vozovek a železničního svršku)</t>
  </si>
  <si>
    <t>Lože pod potrubí z kameniva těženého 0 - 4 mm</t>
  </si>
  <si>
    <t>45*0,6*0,1</t>
  </si>
  <si>
    <t>Podkladní vrstvy komunikací a zpevněných ploch</t>
  </si>
  <si>
    <t>Podklad ze štěrkodrti po zhutnění tloušťky 15 cm (chodník)</t>
  </si>
  <si>
    <t>32,7+18*1,8+25+12,15+10,6+8,3+15</t>
  </si>
  <si>
    <t>Podklad ze štěrkodrti po zhutnění tloušťky 20 cm (komunikace)</t>
  </si>
  <si>
    <t>96,55+97,9+195,15+163,5+80,6*0,5</t>
  </si>
  <si>
    <t>Podklad ze štěrkodrti po zhutnění tloušťky 30 cm</t>
  </si>
  <si>
    <t>8,1*2,15+3,2*2+13,3+12,4+12+17,7</t>
  </si>
  <si>
    <t>Podklad z kameniva zpev.cementem KZC 1 tl.12 cm</t>
  </si>
  <si>
    <t>Podklad z kam.drceného 32-63 s výplň.kamen. 30 cm (výměna podloží / zlepšení podloží pod komunikací)</t>
  </si>
  <si>
    <t>Kryty pozemních komunikací, letišť a ploch z betonu a ostatních hmot</t>
  </si>
  <si>
    <t>Kryt cementobeton. komunikací skup.1 a 2 tl. 21 cm</t>
  </si>
  <si>
    <t>96,55+97,9+195,15</t>
  </si>
  <si>
    <t>Kryt z betonu komunikací pro pěší tloušťky 12 cm</t>
  </si>
  <si>
    <t>Dlažby a předlažby pozemních komunikací a zpevněných ploch</t>
  </si>
  <si>
    <t>Kladení zámkové dlažby tl. 8 cm do drtě tl. 4 cm (komunikace + vjezdy+varovné pásy)</t>
  </si>
  <si>
    <t>163,5   Komunikace</t>
  </si>
  <si>
    <t>14,80   Vjezdy-varovné pásy</t>
  </si>
  <si>
    <t>Dlažba betonová přírodní 20x16,5x8 (komunikace+vjezdy)</t>
  </si>
  <si>
    <t>Dlažba betonová červená pro nevidomé 20x16,5x8 (varovné pásy-vjezdy, chodník)</t>
  </si>
  <si>
    <t>8,8+6</t>
  </si>
  <si>
    <t>Kladení zámkové dlažby tl. 6 cm do drtě tl. 4 cm</t>
  </si>
  <si>
    <t>32,7+18*1,8+25+12,15+10,6+8,3</t>
  </si>
  <si>
    <t>Dlažba betonová přírodní  20x10x6</t>
  </si>
  <si>
    <t>Montáž odvodňovacího žlabu, včetně beton.lože C25/30, zatížení E 600, F 900 kN</t>
  </si>
  <si>
    <t>Potrubí z trub plastických, skleněných a čedičových</t>
  </si>
  <si>
    <t>Ostatní konstrukce a práce na trubním vedení</t>
  </si>
  <si>
    <t>Výšková úprava do 20 cm, zvýšení/snížení krytu šoupěte, hydrantu</t>
  </si>
  <si>
    <t>Doplňující konstrukce a práce na pozemních komunikacích a zpevněných plochách</t>
  </si>
  <si>
    <t>Osaz sloupků, montáž svislých dopr.značek</t>
  </si>
  <si>
    <t>Stojan k silničním dopravním značkám jednoduchý, vč. objímek</t>
  </si>
  <si>
    <t>Patka kotevní kompletní AP 60/4</t>
  </si>
  <si>
    <t>Značka dopr.upr.přednost P6 700 mm, pozink.tř.1</t>
  </si>
  <si>
    <t>Řezání stávajícího živičného krytu tl. 5 - 10 cm</t>
  </si>
  <si>
    <t>Nájem dopravní značky včetně stojanu</t>
  </si>
  <si>
    <t>7*60</t>
  </si>
  <si>
    <t>Montáž dočasné značky včetně stojanu</t>
  </si>
  <si>
    <t>Demontáž dočasné značky včetně stojanu</t>
  </si>
  <si>
    <t>Příplatek za provedení oblouku r do 20 m</t>
  </si>
  <si>
    <t>Osazení stojat. obrub.bet. s opěrou,lože z C 12/15</t>
  </si>
  <si>
    <t>11+68+6+47+56+97</t>
  </si>
  <si>
    <t>Obrubník silniční 1000/150/250 šedý</t>
  </si>
  <si>
    <t>11+68+6+47+56-48-9-8</t>
  </si>
  <si>
    <t>Obrubník silniční nájezdový 1000/150/150 šedý</t>
  </si>
  <si>
    <t>Obrubník silniční přechodový L 1000/150/150-250</t>
  </si>
  <si>
    <t>Obrubník silniční přechodový P 1000/150/150-250</t>
  </si>
  <si>
    <t>Obrubník betonový 50x200x1000 mm</t>
  </si>
  <si>
    <t>Různé dokončovací konstrukce a práce inženýrských staveb</t>
  </si>
  <si>
    <t>Úprava dilatační spáry asfaltovou izolač. zálivkou</t>
  </si>
  <si>
    <t>22,1</t>
  </si>
  <si>
    <t>Komunikace pozemní a letiště</t>
  </si>
  <si>
    <t>Přesun hmot, zpevněné plochy, kryt z kameniva</t>
  </si>
  <si>
    <t>Přesun hmot, komunikace z kameniva, příplatek 5 km</t>
  </si>
  <si>
    <t>322,53*2</t>
  </si>
  <si>
    <t>Přesun hmot, pozemní komunikace, kryt dlážděný</t>
  </si>
  <si>
    <t>Přesun hmot, komunikace dlážděné, příplatek 5 km</t>
  </si>
  <si>
    <t>134,2*2</t>
  </si>
  <si>
    <t>Přesun hmot, pozemní komunikace, kryt betonový</t>
  </si>
  <si>
    <t>Přesun hmot, komunikace beton. přípl. dalších 5 km</t>
  </si>
  <si>
    <t>212,17*8</t>
  </si>
  <si>
    <t>Vedení trubní dálková a přípojná</t>
  </si>
  <si>
    <t>Přesun hmot, trubní vedení plastová, příplatek 5km</t>
  </si>
  <si>
    <t>Montáže potrubí</t>
  </si>
  <si>
    <t>Uložení chráničky ve výkopu</t>
  </si>
  <si>
    <t>Trubka kabelová dělená chránička DN 160</t>
  </si>
  <si>
    <t>Zemní práce při montážích</t>
  </si>
  <si>
    <t>Osetí povrchu trávou, včetně dodávky osiva</t>
  </si>
  <si>
    <t>180</t>
  </si>
  <si>
    <t>Vytýčení trasy nn vedení v přehled.terénu, v obci, (el. vedení+veřejné osvětlení)</t>
  </si>
  <si>
    <t>0,1*5</t>
  </si>
  <si>
    <t>Vytýčení trasy podél silnice (vodovod, splašková kanalizace)</t>
  </si>
  <si>
    <t>Zřízení kabelového lože v rýze š.do 35 cm z písku, tloušťka vrstvy 15 cm + přemístění kabelů (přeložka CETIN)</t>
  </si>
  <si>
    <t>Přesuny sutí</t>
  </si>
  <si>
    <t>Nakládání vybouraných hmot na dopravní prostředky</t>
  </si>
  <si>
    <t>Vodorovné přemístění suti na skládku do 6000 m</t>
  </si>
  <si>
    <t>Příplatek za dalších započatých 1000 m nad 6000 m</t>
  </si>
  <si>
    <t>138,51*5</t>
  </si>
  <si>
    <t>Uložení suti na skládku bez zhutnění</t>
  </si>
  <si>
    <t>Poplatek za skládku suti - asfaltové pásy</t>
  </si>
  <si>
    <t>Poplatek za skládku suti - beton</t>
  </si>
  <si>
    <t>Ostatní materiál</t>
  </si>
  <si>
    <t>Recyfix MONOTEC 100, žlab 230 celkompozit, D400</t>
  </si>
  <si>
    <t>Recyfix MONOTEC 100, revizní díl 0,5 m, D400</t>
  </si>
  <si>
    <t>Recyfix MONOTEC 100, čelo pro odtokovou vpust</t>
  </si>
  <si>
    <t>Recyfix MONOTEC 100, spoj. díl, 230, Zn ocel</t>
  </si>
  <si>
    <t>Recyfix PRO 100, vpust, kryt kompozitní Fibretec SW9 černý, 0,5 m, C250</t>
  </si>
  <si>
    <t>Recyfix MONOTEC 100, čelo plné typ 230 Zn</t>
  </si>
  <si>
    <t>Doba výstavby:</t>
  </si>
  <si>
    <t>Začátek výstavby:</t>
  </si>
  <si>
    <t>Konec výstavby:</t>
  </si>
  <si>
    <t>Zpracováno dne:</t>
  </si>
  <si>
    <t>M.j.</t>
  </si>
  <si>
    <t>kpl</t>
  </si>
  <si>
    <t>m2</t>
  </si>
  <si>
    <t>m</t>
  </si>
  <si>
    <t>m3</t>
  </si>
  <si>
    <t>t</t>
  </si>
  <si>
    <t>kus</t>
  </si>
  <si>
    <t>ks/den</t>
  </si>
  <si>
    <t>ks</t>
  </si>
  <si>
    <t>kg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</si>
  <si>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</si>
  <si>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</si>
  <si>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</si>
  <si>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</si>
  <si>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</si>
  <si>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</si>
  <si>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</si>
  <si>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</si>
  <si>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</si>
  <si>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</si>
  <si>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</si>
  <si>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</si>
  <si>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Český Brod</t>
  </si>
  <si>
    <t>Aleš Jambor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</si>
  <si>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</si>
  <si>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</si>
  <si>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</si>
  <si>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</si>
  <si>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</si>
  <si>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</si>
  <si>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</si>
  <si>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</si>
  <si>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</si>
  <si>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</si>
  <si>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</si>
  <si>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</si>
  <si>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</si>
  <si>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</si>
  <si>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</si>
  <si>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</si>
  <si>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</si>
  <si>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</si>
  <si>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16_</t>
  </si>
  <si>
    <t>17_</t>
  </si>
  <si>
    <t>18_</t>
  </si>
  <si>
    <t>19_</t>
  </si>
  <si>
    <t>21_</t>
  </si>
  <si>
    <t>27_</t>
  </si>
  <si>
    <t>45_</t>
  </si>
  <si>
    <t>56_</t>
  </si>
  <si>
    <t>58_</t>
  </si>
  <si>
    <t>59_</t>
  </si>
  <si>
    <t>87_</t>
  </si>
  <si>
    <t>89_</t>
  </si>
  <si>
    <t>91_</t>
  </si>
  <si>
    <t>93_</t>
  </si>
  <si>
    <t>H22_</t>
  </si>
  <si>
    <t>H27_</t>
  </si>
  <si>
    <t>M23_</t>
  </si>
  <si>
    <t>M46_</t>
  </si>
  <si>
    <t>S_</t>
  </si>
  <si>
    <t>Z99999_</t>
  </si>
  <si>
    <t>SO01_0_</t>
  </si>
  <si>
    <t>SO01_1_</t>
  </si>
  <si>
    <t>SO01_2_</t>
  </si>
  <si>
    <t>SO01_4_</t>
  </si>
  <si>
    <t>SO01_5_</t>
  </si>
  <si>
    <t>SO01_8_</t>
  </si>
  <si>
    <t>SO01_9_</t>
  </si>
  <si>
    <t>SO01_Z_</t>
  </si>
  <si>
    <t>SO01_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</si>
  <si>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</si>
  <si>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</si>
  <si>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</si>
  <si>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</si>
  <si>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</si>
  <si>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</si>
  <si>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</si>
  <si>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</si>
  <si>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</si>
  <si>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</si>
  <si>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</si>
  <si>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</si>
  <si>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</si>
  <si>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</si>
  <si>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</si>
  <si>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</si>
  <si>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</si>
  <si>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</si>
  <si>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</si>
  <si>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</si>
  <si>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</si>
  <si>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</si>
  <si>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</si>
  <si>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</si>
  <si>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</si>
  <si>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</si>
  <si>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</si>
  <si>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</si>
  <si>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</si>
  <si>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</si>
  <si>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</si>
  <si>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</si>
  <si>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</si>
  <si>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</si>
  <si>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</si>
  <si>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</si>
  <si>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</si>
  <si>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</si>
  <si>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</si>
  <si>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</si>
  <si>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</si>
  <si>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</si>
  <si>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</si>
  <si>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</si>
  <si>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</si>
  <si>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</si>
  <si>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</si>
  <si>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</si>
  <si>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</si>
  <si>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</si>
  <si>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</si>
  <si>
    <t>Stavební úpravy místní komunikace v ul. K Vysílači, Český Brod-Liblice</t>
  </si>
  <si>
    <t>Montáž trub z plastu, gumový kroužek, DN 200</t>
  </si>
  <si>
    <t>Trubka kanalizační KGEM SN 10 PP DN 200x5000</t>
  </si>
  <si>
    <t>894432112R00</t>
  </si>
  <si>
    <t>Osazení plastové šachty revizní prům.400 mm</t>
  </si>
  <si>
    <t>28695821.A</t>
  </si>
  <si>
    <t>Šachta Vario DN 400/200mm, B 125</t>
  </si>
  <si>
    <t>Uložení ocel. chráničky ve výkopu</t>
  </si>
  <si>
    <t>Trubka ocel. chránička DN 250</t>
  </si>
  <si>
    <t>Obrubník silniční 1000/150/300 šedý</t>
  </si>
  <si>
    <t>82</t>
  </si>
  <si>
    <t>83</t>
  </si>
  <si>
    <t>84</t>
  </si>
  <si>
    <t>85</t>
  </si>
  <si>
    <t>460030081R00</t>
  </si>
  <si>
    <t>Řezání smršťovací spáry v cementobetonovém krytu, vč. vytvoření komůrky</t>
  </si>
  <si>
    <t>RTS I / 2020</t>
  </si>
  <si>
    <t>9_</t>
  </si>
  <si>
    <t>_</t>
  </si>
  <si>
    <t>86</t>
  </si>
  <si>
    <t>919726211R00</t>
  </si>
  <si>
    <t>Těsnění spár krytu pryžovou vložkou, vč. pryžového profilu 10x10 mm</t>
  </si>
  <si>
    <t>Geologický průzkum (statické zatěžovací zkoušky)</t>
  </si>
  <si>
    <t>Rozpočtová rezerva 0%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</si>
</sst>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i/>
      <sz val="10"/>
      <color indexed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1" fillId="34" borderId="24" xfId="0" applyNumberFormat="1" applyFont="1" applyFill="1" applyBorder="1" applyAlignment="1" applyProtection="1">
      <alignment horizontal="center" vertical="center"/>
      <protection/>
    </xf>
    <xf numFmtId="49" fontId="12" fillId="0" borderId="25" xfId="0" applyNumberFormat="1" applyFont="1" applyFill="1" applyBorder="1" applyAlignment="1" applyProtection="1">
      <alignment vertical="center"/>
      <protection/>
    </xf>
    <xf numFmtId="49" fontId="12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13" fillId="0" borderId="2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3" fillId="0" borderId="24" xfId="0" applyNumberFormat="1" applyFont="1" applyFill="1" applyBorder="1" applyAlignment="1" applyProtection="1">
      <alignment horizontal="right" vertical="center"/>
      <protection/>
    </xf>
    <xf numFmtId="49" fontId="13" fillId="0" borderId="24" xfId="0" applyNumberFormat="1" applyFont="1" applyFill="1" applyBorder="1" applyAlignment="1" applyProtection="1">
      <alignment horizontal="right" vertical="center"/>
      <protection/>
    </xf>
    <xf numFmtId="4" fontId="13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2" fillId="34" borderId="3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" fillId="0" borderId="31" xfId="0" applyNumberFormat="1" applyFont="1" applyFill="1" applyBorder="1" applyAlignment="1" applyProtection="1">
      <alignment vertical="center"/>
      <protection/>
    </xf>
    <xf numFmtId="49" fontId="1" fillId="0" borderId="32" xfId="0" applyNumberFormat="1" applyFont="1" applyFill="1" applyBorder="1" applyAlignment="1" applyProtection="1">
      <alignment vertical="center"/>
      <protection/>
    </xf>
    <xf numFmtId="49" fontId="1" fillId="35" borderId="33" xfId="0" applyNumberFormat="1" applyFont="1" applyFill="1" applyBorder="1" applyAlignment="1" applyProtection="1">
      <alignment vertical="center"/>
      <protection/>
    </xf>
    <xf numFmtId="49" fontId="3" fillId="35" borderId="33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3" fillId="35" borderId="33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5" borderId="37" xfId="0" applyNumberFormat="1" applyFont="1" applyFill="1" applyBorder="1" applyAlignment="1" applyProtection="1">
      <alignment horizontal="right" vertical="center"/>
      <protection/>
    </xf>
    <xf numFmtId="49" fontId="3" fillId="35" borderId="33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39" xfId="0" applyNumberFormat="1" applyFont="1" applyBorder="1" applyAlignment="1">
      <alignment vertical="center"/>
    </xf>
    <xf numFmtId="4" fontId="1" fillId="36" borderId="0" xfId="0" applyNumberFormat="1" applyFont="1" applyFill="1" applyBorder="1" applyAlignment="1" applyProtection="1">
      <alignment horizontal="right" vertical="center"/>
      <protection locked="0"/>
    </xf>
    <xf numFmtId="4" fontId="5" fillId="36" borderId="0" xfId="0" applyNumberFormat="1" applyFont="1" applyFill="1" applyBorder="1" applyAlignment="1" applyProtection="1">
      <alignment horizontal="right" vertical="center"/>
      <protection locked="0"/>
    </xf>
    <xf numFmtId="4" fontId="6" fillId="36" borderId="0" xfId="0" applyNumberFormat="1" applyFont="1" applyFill="1" applyBorder="1" applyAlignment="1" applyProtection="1">
      <alignment horizontal="right" vertical="center"/>
      <protection locked="0"/>
    </xf>
    <xf numFmtId="4" fontId="6" fillId="36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36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9" fontId="18" fillId="33" borderId="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41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44" xfId="0" applyNumberFormat="1" applyFont="1" applyFill="1" applyBorder="1" applyAlignment="1" applyProtection="1">
      <alignment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49" fontId="13" fillId="0" borderId="44" xfId="0" applyNumberFormat="1" applyFont="1" applyFill="1" applyBorder="1" applyAlignment="1" applyProtection="1">
      <alignment vertical="center"/>
      <protection/>
    </xf>
    <xf numFmtId="0" fontId="13" fillId="0" borderId="30" xfId="0" applyNumberFormat="1" applyFont="1" applyFill="1" applyBorder="1" applyAlignment="1" applyProtection="1">
      <alignment vertical="center"/>
      <protection/>
    </xf>
    <xf numFmtId="49" fontId="12" fillId="0" borderId="44" xfId="0" applyNumberFormat="1" applyFont="1" applyFill="1" applyBorder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vertical="center"/>
      <protection/>
    </xf>
    <xf numFmtId="49" fontId="12" fillId="34" borderId="44" xfId="0" applyNumberFormat="1" applyFont="1" applyFill="1" applyBorder="1" applyAlignment="1" applyProtection="1">
      <alignment vertical="center"/>
      <protection/>
    </xf>
    <xf numFmtId="0" fontId="12" fillId="34" borderId="43" xfId="0" applyNumberFormat="1" applyFont="1" applyFill="1" applyBorder="1" applyAlignment="1" applyProtection="1">
      <alignment vertical="center"/>
      <protection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49" fontId="13" fillId="0" borderId="47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48" xfId="0" applyNumberFormat="1" applyFont="1" applyFill="1" applyBorder="1" applyAlignment="1" applyProtection="1">
      <alignment vertical="center"/>
      <protection/>
    </xf>
    <xf numFmtId="49" fontId="13" fillId="0" borderId="18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49" xfId="0" applyNumberFormat="1" applyFont="1" applyFill="1" applyBorder="1" applyAlignment="1" applyProtection="1">
      <alignment vertical="center"/>
      <protection/>
    </xf>
    <xf numFmtId="49" fontId="13" fillId="0" borderId="50" xfId="0" applyNumberFormat="1" applyFont="1" applyFill="1" applyBorder="1" applyAlignment="1" applyProtection="1">
      <alignment vertical="center"/>
      <protection/>
    </xf>
    <xf numFmtId="0" fontId="13" fillId="0" borderId="51" xfId="0" applyNumberFormat="1" applyFont="1" applyFill="1" applyBorder="1" applyAlignment="1" applyProtection="1">
      <alignment vertical="center"/>
      <protection/>
    </xf>
    <xf numFmtId="0" fontId="13" fillId="0" borderId="5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53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0" fontId="1" fillId="0" borderId="54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0" fontId="1" fillId="36" borderId="0" xfId="0" applyNumberFormat="1" applyFont="1" applyFill="1" applyBorder="1" applyAlignment="1" applyProtection="1">
      <alignment vertical="center" wrapText="1"/>
      <protection locked="0"/>
    </xf>
    <xf numFmtId="0" fontId="1" fillId="36" borderId="0" xfId="0" applyNumberFormat="1" applyFont="1" applyFill="1" applyBorder="1" applyAlignment="1" applyProtection="1">
      <alignment vertical="center"/>
      <protection locked="0"/>
    </xf>
    <xf numFmtId="0" fontId="1" fillId="36" borderId="16" xfId="0" applyNumberFormat="1" applyFont="1" applyFill="1" applyBorder="1" applyAlignment="1" applyProtection="1">
      <alignment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1" fillId="36" borderId="0" xfId="0" applyNumberFormat="1" applyFont="1" applyFill="1" applyBorder="1" applyAlignment="1" applyProtection="1">
      <alignment vertical="center"/>
      <protection locked="0"/>
    </xf>
    <xf numFmtId="0" fontId="1" fillId="36" borderId="51" xfId="0" applyNumberFormat="1" applyFont="1" applyFill="1" applyBorder="1" applyAlignment="1" applyProtection="1">
      <alignment vertical="center"/>
      <protection locked="0"/>
    </xf>
    <xf numFmtId="0" fontId="1" fillId="36" borderId="54" xfId="0" applyNumberFormat="1" applyFont="1" applyFill="1" applyBorder="1" applyAlignment="1" applyProtection="1">
      <alignment vertical="center"/>
      <protection locked="0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L17" sqref="L17"/>
    </sheetView>
  </sheetViews>
  <sheetFormatPr defaultColWidth="11.57421875" defaultRowHeight="12.75"/>
  <cols>
    <col min="1" max="1" width="9.140625" style="0" customWidth="1"/>
    <col min="2" max="2" width="14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39"/>
      <c r="C1" s="90" t="s">
        <v>417</v>
      </c>
      <c r="D1" s="91"/>
      <c r="E1" s="91"/>
      <c r="F1" s="91"/>
      <c r="G1" s="91"/>
      <c r="H1" s="91"/>
      <c r="I1" s="91"/>
    </row>
    <row r="2" spans="1:10" ht="12.75">
      <c r="A2" s="92" t="s">
        <v>1</v>
      </c>
      <c r="B2" s="93"/>
      <c r="C2" s="96" t="str">
        <f>'Stavební rozpočet'!D2</f>
        <v>Stavební úpravy místní komunikace v ul. K Vysílači, Český Brod-Liblice</v>
      </c>
      <c r="D2" s="97"/>
      <c r="E2" s="99" t="s">
        <v>342</v>
      </c>
      <c r="F2" s="99" t="str">
        <f>'Stavební rozpočet'!J2</f>
        <v>Město Český Brod</v>
      </c>
      <c r="G2" s="93"/>
      <c r="H2" s="99" t="s">
        <v>442</v>
      </c>
      <c r="I2" s="100"/>
      <c r="J2" s="1"/>
    </row>
    <row r="3" spans="1:10" ht="25.5" customHeight="1">
      <c r="A3" s="94"/>
      <c r="B3" s="95"/>
      <c r="C3" s="98"/>
      <c r="D3" s="98"/>
      <c r="E3" s="95"/>
      <c r="F3" s="95"/>
      <c r="G3" s="95"/>
      <c r="H3" s="95"/>
      <c r="I3" s="101"/>
      <c r="J3" s="1"/>
    </row>
    <row r="4" spans="1:10" ht="12.75">
      <c r="A4" s="102" t="s">
        <v>2</v>
      </c>
      <c r="B4" s="95"/>
      <c r="C4" s="103" t="str">
        <f>'Stavební rozpočet'!D4</f>
        <v>Místní komunikace</v>
      </c>
      <c r="D4" s="95"/>
      <c r="E4" s="103" t="s">
        <v>343</v>
      </c>
      <c r="F4" s="103" t="str">
        <f>'Stavební rozpočet'!J4</f>
        <v>Aleš Jambor</v>
      </c>
      <c r="G4" s="95"/>
      <c r="H4" s="103" t="s">
        <v>442</v>
      </c>
      <c r="I4" s="104" t="s">
        <v>446</v>
      </c>
      <c r="J4" s="1"/>
    </row>
    <row r="5" spans="1:10" ht="12.75">
      <c r="A5" s="94"/>
      <c r="B5" s="95"/>
      <c r="C5" s="95"/>
      <c r="D5" s="95"/>
      <c r="E5" s="95"/>
      <c r="F5" s="95"/>
      <c r="G5" s="95"/>
      <c r="H5" s="95"/>
      <c r="I5" s="101"/>
      <c r="J5" s="1"/>
    </row>
    <row r="6" spans="1:10" ht="12.75">
      <c r="A6" s="102" t="s">
        <v>3</v>
      </c>
      <c r="B6" s="95"/>
      <c r="C6" s="103" t="str">
        <f>'Stavební rozpočet'!D6</f>
        <v> </v>
      </c>
      <c r="D6" s="95"/>
      <c r="E6" s="103" t="s">
        <v>344</v>
      </c>
      <c r="F6" s="103">
        <f>'Stavební rozpočet'!J6</f>
        <v>0</v>
      </c>
      <c r="G6" s="95"/>
      <c r="H6" s="103" t="s">
        <v>442</v>
      </c>
      <c r="I6" s="104"/>
      <c r="J6" s="1"/>
    </row>
    <row r="7" spans="1:10" ht="12.75">
      <c r="A7" s="94"/>
      <c r="B7" s="95"/>
      <c r="C7" s="95"/>
      <c r="D7" s="95"/>
      <c r="E7" s="95"/>
      <c r="F7" s="95"/>
      <c r="G7" s="95"/>
      <c r="H7" s="95"/>
      <c r="I7" s="101"/>
      <c r="J7" s="1"/>
    </row>
    <row r="8" spans="1:10" ht="12.75">
      <c r="A8" s="102" t="s">
        <v>322</v>
      </c>
      <c r="B8" s="95"/>
      <c r="C8" s="103"/>
      <c r="D8" s="95"/>
      <c r="E8" s="103" t="s">
        <v>323</v>
      </c>
      <c r="F8" s="103" t="str">
        <f>'Stavební rozpočet'!G6</f>
        <v> </v>
      </c>
      <c r="G8" s="95"/>
      <c r="H8" s="105" t="s">
        <v>443</v>
      </c>
      <c r="I8" s="104" t="s">
        <v>128</v>
      </c>
      <c r="J8" s="1"/>
    </row>
    <row r="9" spans="1:10" ht="12.75">
      <c r="A9" s="94"/>
      <c r="B9" s="95"/>
      <c r="C9" s="95"/>
      <c r="D9" s="95"/>
      <c r="E9" s="95"/>
      <c r="F9" s="95"/>
      <c r="G9" s="95"/>
      <c r="H9" s="95"/>
      <c r="I9" s="101"/>
      <c r="J9" s="1"/>
    </row>
    <row r="10" spans="1:10" ht="12.75">
      <c r="A10" s="102" t="s">
        <v>4</v>
      </c>
      <c r="B10" s="95"/>
      <c r="C10" s="103" t="str">
        <f>'Stavební rozpočet'!D8</f>
        <v> </v>
      </c>
      <c r="D10" s="95"/>
      <c r="E10" s="103" t="s">
        <v>345</v>
      </c>
      <c r="F10" s="103">
        <f>'Stavební rozpočet'!J8</f>
        <v>0</v>
      </c>
      <c r="G10" s="95"/>
      <c r="H10" s="105" t="s">
        <v>444</v>
      </c>
      <c r="I10" s="108">
        <f>'Stavební rozpočet'!G8</f>
        <v>0</v>
      </c>
      <c r="J10" s="1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09"/>
      <c r="J11" s="1"/>
    </row>
    <row r="12" spans="1:9" ht="23.25" customHeight="1">
      <c r="A12" s="110" t="s">
        <v>403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41" t="s">
        <v>404</v>
      </c>
      <c r="B13" s="112" t="s">
        <v>415</v>
      </c>
      <c r="C13" s="113"/>
      <c r="D13" s="41" t="s">
        <v>418</v>
      </c>
      <c r="E13" s="112" t="s">
        <v>427</v>
      </c>
      <c r="F13" s="113"/>
      <c r="G13" s="41" t="s">
        <v>428</v>
      </c>
      <c r="H13" s="112" t="s">
        <v>445</v>
      </c>
      <c r="I13" s="113"/>
      <c r="J13" s="1"/>
    </row>
    <row r="14" spans="1:10" ht="15" customHeight="1">
      <c r="A14" s="42" t="s">
        <v>405</v>
      </c>
      <c r="B14" s="46" t="s">
        <v>416</v>
      </c>
      <c r="C14" s="48">
        <f>SUM('Stavební rozpočet'!R12:R169)</f>
        <v>0</v>
      </c>
      <c r="D14" s="114" t="s">
        <v>419</v>
      </c>
      <c r="E14" s="115"/>
      <c r="F14" s="48">
        <v>0</v>
      </c>
      <c r="G14" s="114" t="s">
        <v>429</v>
      </c>
      <c r="H14" s="115"/>
      <c r="I14" s="48">
        <v>0</v>
      </c>
      <c r="J14" s="1"/>
    </row>
    <row r="15" spans="1:10" ht="15" customHeight="1">
      <c r="A15" s="43"/>
      <c r="B15" s="46" t="s">
        <v>346</v>
      </c>
      <c r="C15" s="48">
        <f>SUM('Stavební rozpočet'!S12:S169)</f>
        <v>0</v>
      </c>
      <c r="D15" s="114" t="s">
        <v>420</v>
      </c>
      <c r="E15" s="115"/>
      <c r="F15" s="48">
        <v>0</v>
      </c>
      <c r="G15" s="114" t="s">
        <v>430</v>
      </c>
      <c r="H15" s="115"/>
      <c r="I15" s="48">
        <v>0</v>
      </c>
      <c r="J15" s="1"/>
    </row>
    <row r="16" spans="1:10" ht="15" customHeight="1">
      <c r="A16" s="42" t="s">
        <v>406</v>
      </c>
      <c r="B16" s="46" t="s">
        <v>416</v>
      </c>
      <c r="C16" s="48">
        <f>SUM('Stavební rozpočet'!T12:T169)</f>
        <v>0</v>
      </c>
      <c r="D16" s="114" t="s">
        <v>421</v>
      </c>
      <c r="E16" s="115"/>
      <c r="F16" s="48">
        <v>0</v>
      </c>
      <c r="G16" s="114" t="s">
        <v>431</v>
      </c>
      <c r="H16" s="115"/>
      <c r="I16" s="48">
        <v>0</v>
      </c>
      <c r="J16" s="1"/>
    </row>
    <row r="17" spans="1:10" ht="15" customHeight="1">
      <c r="A17" s="43"/>
      <c r="B17" s="46" t="s">
        <v>346</v>
      </c>
      <c r="C17" s="48">
        <f>SUM('Stavební rozpočet'!U12:U169)</f>
        <v>0</v>
      </c>
      <c r="D17" s="114"/>
      <c r="E17" s="115"/>
      <c r="F17" s="49"/>
      <c r="G17" s="114" t="s">
        <v>432</v>
      </c>
      <c r="H17" s="115"/>
      <c r="I17" s="48">
        <v>0</v>
      </c>
      <c r="J17" s="1"/>
    </row>
    <row r="18" spans="1:10" ht="15" customHeight="1">
      <c r="A18" s="42" t="s">
        <v>407</v>
      </c>
      <c r="B18" s="46" t="s">
        <v>416</v>
      </c>
      <c r="C18" s="48">
        <f>SUM('Stavební rozpočet'!V12:V169)</f>
        <v>0</v>
      </c>
      <c r="D18" s="114"/>
      <c r="E18" s="115"/>
      <c r="F18" s="49"/>
      <c r="G18" s="114" t="s">
        <v>433</v>
      </c>
      <c r="H18" s="115"/>
      <c r="I18" s="48">
        <v>0</v>
      </c>
      <c r="J18" s="1"/>
    </row>
    <row r="19" spans="1:10" ht="15" customHeight="1">
      <c r="A19" s="43"/>
      <c r="B19" s="46" t="s">
        <v>346</v>
      </c>
      <c r="C19" s="48">
        <f>SUM('Stavební rozpočet'!W12:W169)</f>
        <v>0</v>
      </c>
      <c r="D19" s="114"/>
      <c r="E19" s="115"/>
      <c r="F19" s="49"/>
      <c r="G19" s="114" t="s">
        <v>434</v>
      </c>
      <c r="H19" s="115"/>
      <c r="I19" s="48">
        <v>0</v>
      </c>
      <c r="J19" s="1"/>
    </row>
    <row r="20" spans="1:10" ht="15" customHeight="1">
      <c r="A20" s="116" t="s">
        <v>314</v>
      </c>
      <c r="B20" s="117"/>
      <c r="C20" s="48">
        <f>SUM('Stavební rozpočet'!X12:X169)</f>
        <v>0</v>
      </c>
      <c r="D20" s="114"/>
      <c r="E20" s="115"/>
      <c r="F20" s="49"/>
      <c r="G20" s="114"/>
      <c r="H20" s="115"/>
      <c r="I20" s="49"/>
      <c r="J20" s="1"/>
    </row>
    <row r="21" spans="1:10" ht="15" customHeight="1">
      <c r="A21" s="116" t="s">
        <v>408</v>
      </c>
      <c r="B21" s="117"/>
      <c r="C21" s="48">
        <f>SUM('Stavební rozpočet'!P12:P169)</f>
        <v>0</v>
      </c>
      <c r="D21" s="114"/>
      <c r="E21" s="115"/>
      <c r="F21" s="49"/>
      <c r="G21" s="114"/>
      <c r="H21" s="115"/>
      <c r="I21" s="49"/>
      <c r="J21" s="1"/>
    </row>
    <row r="22" spans="1:10" ht="16.5" customHeight="1" thickBot="1">
      <c r="A22" s="116" t="s">
        <v>409</v>
      </c>
      <c r="B22" s="117"/>
      <c r="C22" s="48">
        <f>(SUM(C14:C21))</f>
        <v>0</v>
      </c>
      <c r="D22" s="116" t="s">
        <v>422</v>
      </c>
      <c r="E22" s="117"/>
      <c r="F22" s="48">
        <f>SUM(F14:F21)</f>
        <v>0</v>
      </c>
      <c r="G22" s="116" t="s">
        <v>435</v>
      </c>
      <c r="H22" s="117"/>
      <c r="I22" s="48">
        <f>SUM(I14:I21)</f>
        <v>0</v>
      </c>
      <c r="J22" s="1"/>
    </row>
    <row r="23" spans="1:10" ht="15" customHeight="1" thickBot="1">
      <c r="A23" s="120" t="s">
        <v>470</v>
      </c>
      <c r="B23" s="121"/>
      <c r="C23" s="74">
        <f>C22*0/100</f>
        <v>0</v>
      </c>
      <c r="D23" s="116" t="s">
        <v>423</v>
      </c>
      <c r="E23" s="117"/>
      <c r="F23" s="50">
        <v>0</v>
      </c>
      <c r="G23" s="116" t="s">
        <v>436</v>
      </c>
      <c r="H23" s="117"/>
      <c r="I23" s="48">
        <v>0</v>
      </c>
      <c r="J23" s="1"/>
    </row>
    <row r="24" spans="4:10" ht="15" customHeight="1">
      <c r="D24" s="7"/>
      <c r="E24" s="7"/>
      <c r="F24" s="51"/>
      <c r="G24" s="116" t="s">
        <v>437</v>
      </c>
      <c r="H24" s="117"/>
      <c r="I24" s="48">
        <v>0</v>
      </c>
      <c r="J24" s="1"/>
    </row>
    <row r="25" spans="6:10" ht="15" customHeight="1">
      <c r="F25" s="20"/>
      <c r="G25" s="116" t="s">
        <v>438</v>
      </c>
      <c r="H25" s="117"/>
      <c r="I25" s="48">
        <v>0</v>
      </c>
      <c r="J25" s="1"/>
    </row>
    <row r="26" spans="1:9" ht="12.75">
      <c r="A26" s="39"/>
      <c r="B26" s="39"/>
      <c r="C26" s="39"/>
      <c r="G26" s="7"/>
      <c r="H26" s="7"/>
      <c r="I26" s="7"/>
    </row>
    <row r="27" spans="1:9" ht="15" customHeight="1">
      <c r="A27" s="118" t="s">
        <v>410</v>
      </c>
      <c r="B27" s="119"/>
      <c r="C27" s="52">
        <f>ROUND(SUM('Stavební rozpočet'!Z12:Z169),1)</f>
        <v>0</v>
      </c>
      <c r="D27" s="40"/>
      <c r="E27" s="39"/>
      <c r="F27" s="39"/>
      <c r="G27" s="39"/>
      <c r="H27" s="39"/>
      <c r="I27" s="39"/>
    </row>
    <row r="28" spans="1:10" ht="15" customHeight="1">
      <c r="A28" s="118" t="s">
        <v>411</v>
      </c>
      <c r="B28" s="119"/>
      <c r="C28" s="52">
        <f>ROUND(SUM('Stavební rozpočet'!AA12:AA169),1)</f>
        <v>0</v>
      </c>
      <c r="D28" s="118" t="s">
        <v>424</v>
      </c>
      <c r="E28" s="119"/>
      <c r="F28" s="52">
        <f>ROUND(C28*(15/100),2)</f>
        <v>0</v>
      </c>
      <c r="G28" s="118" t="s">
        <v>439</v>
      </c>
      <c r="H28" s="119"/>
      <c r="I28" s="52">
        <f>(SUM(C27:C29))</f>
        <v>0</v>
      </c>
      <c r="J28" s="1"/>
    </row>
    <row r="29" spans="1:10" ht="15" customHeight="1">
      <c r="A29" s="118" t="s">
        <v>412</v>
      </c>
      <c r="B29" s="119"/>
      <c r="C29" s="52">
        <f>(SUM('Stavební rozpočet'!AB12:AB169)+(F22+C23+I22+F23+I23+I24+I25))</f>
        <v>0</v>
      </c>
      <c r="D29" s="118" t="s">
        <v>425</v>
      </c>
      <c r="E29" s="119"/>
      <c r="F29" s="52">
        <f>C29*(21/100)</f>
        <v>0</v>
      </c>
      <c r="G29" s="118" t="s">
        <v>440</v>
      </c>
      <c r="H29" s="119"/>
      <c r="I29" s="52">
        <f>C29+F29</f>
        <v>0</v>
      </c>
      <c r="J29" s="1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10" ht="14.25" customHeight="1">
      <c r="A31" s="122" t="s">
        <v>413</v>
      </c>
      <c r="B31" s="123"/>
      <c r="C31" s="124"/>
      <c r="D31" s="122" t="s">
        <v>426</v>
      </c>
      <c r="E31" s="123"/>
      <c r="F31" s="124"/>
      <c r="G31" s="122" t="s">
        <v>441</v>
      </c>
      <c r="H31" s="123"/>
      <c r="I31" s="124"/>
      <c r="J31" s="25"/>
    </row>
    <row r="32" spans="1:10" ht="14.25" customHeight="1">
      <c r="A32" s="125"/>
      <c r="B32" s="126"/>
      <c r="C32" s="127"/>
      <c r="D32" s="125"/>
      <c r="E32" s="126"/>
      <c r="F32" s="127"/>
      <c r="G32" s="125"/>
      <c r="H32" s="126"/>
      <c r="I32" s="127"/>
      <c r="J32" s="25"/>
    </row>
    <row r="33" spans="1:10" ht="14.25" customHeight="1">
      <c r="A33" s="125"/>
      <c r="B33" s="126"/>
      <c r="C33" s="127"/>
      <c r="D33" s="125"/>
      <c r="E33" s="126"/>
      <c r="F33" s="127"/>
      <c r="G33" s="125"/>
      <c r="H33" s="126"/>
      <c r="I33" s="127"/>
      <c r="J33" s="25"/>
    </row>
    <row r="34" spans="1:10" ht="14.25" customHeight="1">
      <c r="A34" s="125"/>
      <c r="B34" s="126"/>
      <c r="C34" s="127"/>
      <c r="D34" s="125"/>
      <c r="E34" s="126"/>
      <c r="F34" s="127"/>
      <c r="G34" s="125"/>
      <c r="H34" s="126"/>
      <c r="I34" s="127"/>
      <c r="J34" s="25"/>
    </row>
    <row r="35" spans="1:10" ht="14.25" customHeight="1">
      <c r="A35" s="128" t="s">
        <v>414</v>
      </c>
      <c r="B35" s="129"/>
      <c r="C35" s="130"/>
      <c r="D35" s="128" t="s">
        <v>414</v>
      </c>
      <c r="E35" s="129"/>
      <c r="F35" s="130"/>
      <c r="G35" s="128" t="s">
        <v>414</v>
      </c>
      <c r="H35" s="129"/>
      <c r="I35" s="130"/>
      <c r="J35" s="25"/>
    </row>
    <row r="36" spans="1:9" ht="11.25" customHeight="1">
      <c r="A36" s="45" t="s">
        <v>88</v>
      </c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103"/>
      <c r="B37" s="95"/>
      <c r="C37" s="95"/>
      <c r="D37" s="95"/>
      <c r="E37" s="95"/>
      <c r="F37" s="95"/>
      <c r="G37" s="95"/>
      <c r="H37" s="95"/>
      <c r="I37" s="95"/>
    </row>
  </sheetData>
  <sheetProtection password="ED26" sheet="1"/>
  <mergeCells count="84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3:B23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5" sqref="D25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31" t="s">
        <v>396</v>
      </c>
      <c r="B1" s="132"/>
      <c r="C1" s="132"/>
      <c r="D1" s="132"/>
      <c r="E1" s="132"/>
      <c r="F1" s="132"/>
      <c r="G1" s="132"/>
    </row>
    <row r="2" spans="1:8" ht="12.75">
      <c r="A2" s="92" t="s">
        <v>1</v>
      </c>
      <c r="B2" s="96" t="str">
        <f>'Stavební rozpočet'!D2</f>
        <v>Stavební úpravy místní komunikace v ul. K Vysílači, Český Brod-Liblice</v>
      </c>
      <c r="C2" s="97"/>
      <c r="D2" s="99" t="s">
        <v>342</v>
      </c>
      <c r="E2" s="99" t="str">
        <f>'Stavební rozpočet'!J2</f>
        <v>Město Český Brod</v>
      </c>
      <c r="F2" s="93"/>
      <c r="G2" s="133"/>
      <c r="H2" s="1"/>
    </row>
    <row r="3" spans="1:8" ht="12.75">
      <c r="A3" s="94"/>
      <c r="B3" s="98"/>
      <c r="C3" s="98"/>
      <c r="D3" s="95"/>
      <c r="E3" s="95"/>
      <c r="F3" s="95"/>
      <c r="G3" s="101"/>
      <c r="H3" s="1"/>
    </row>
    <row r="4" spans="1:8" ht="12.75">
      <c r="A4" s="102" t="s">
        <v>2</v>
      </c>
      <c r="B4" s="103" t="str">
        <f>'Stavební rozpočet'!D4</f>
        <v>Místní komunikace</v>
      </c>
      <c r="C4" s="95"/>
      <c r="D4" s="103" t="s">
        <v>343</v>
      </c>
      <c r="E4" s="103" t="str">
        <f>'Stavební rozpočet'!J4</f>
        <v>Aleš Jambor</v>
      </c>
      <c r="F4" s="95"/>
      <c r="G4" s="101"/>
      <c r="H4" s="1"/>
    </row>
    <row r="5" spans="1:8" ht="12.75">
      <c r="A5" s="94"/>
      <c r="B5" s="95"/>
      <c r="C5" s="95"/>
      <c r="D5" s="95"/>
      <c r="E5" s="95"/>
      <c r="F5" s="95"/>
      <c r="G5" s="101"/>
      <c r="H5" s="1"/>
    </row>
    <row r="6" spans="1:8" ht="12.75">
      <c r="A6" s="102" t="s">
        <v>3</v>
      </c>
      <c r="B6" s="103" t="str">
        <f>'Stavební rozpočet'!D6</f>
        <v> </v>
      </c>
      <c r="C6" s="95"/>
      <c r="D6" s="103" t="s">
        <v>344</v>
      </c>
      <c r="E6" s="103">
        <f>'Stavební rozpočet'!J6</f>
        <v>0</v>
      </c>
      <c r="F6" s="95"/>
      <c r="G6" s="101"/>
      <c r="H6" s="1"/>
    </row>
    <row r="7" spans="1:8" ht="12.75">
      <c r="A7" s="94"/>
      <c r="B7" s="95"/>
      <c r="C7" s="95"/>
      <c r="D7" s="95"/>
      <c r="E7" s="95"/>
      <c r="F7" s="95"/>
      <c r="G7" s="101"/>
      <c r="H7" s="1"/>
    </row>
    <row r="8" spans="1:8" ht="12.75">
      <c r="A8" s="102" t="s">
        <v>345</v>
      </c>
      <c r="B8" s="103">
        <f>'Stavební rozpočet'!J8</f>
        <v>0</v>
      </c>
      <c r="C8" s="95"/>
      <c r="D8" s="105" t="s">
        <v>324</v>
      </c>
      <c r="E8" s="103">
        <f>'Stavební rozpočet'!G8</f>
        <v>0</v>
      </c>
      <c r="F8" s="95"/>
      <c r="G8" s="101"/>
      <c r="H8" s="1"/>
    </row>
    <row r="9" spans="1:8" ht="12.75">
      <c r="A9" s="134"/>
      <c r="B9" s="135"/>
      <c r="C9" s="135"/>
      <c r="D9" s="135"/>
      <c r="E9" s="135"/>
      <c r="F9" s="135"/>
      <c r="G9" s="136"/>
      <c r="H9" s="1"/>
    </row>
    <row r="10" spans="1:8" ht="12.75">
      <c r="A10" s="30" t="s">
        <v>89</v>
      </c>
      <c r="B10" s="32" t="s">
        <v>91</v>
      </c>
      <c r="C10" s="33" t="s">
        <v>182</v>
      </c>
      <c r="D10" s="34" t="s">
        <v>397</v>
      </c>
      <c r="E10" s="34" t="s">
        <v>398</v>
      </c>
      <c r="F10" s="34" t="s">
        <v>399</v>
      </c>
      <c r="G10" s="36" t="s">
        <v>400</v>
      </c>
      <c r="H10" s="25"/>
    </row>
    <row r="11" spans="1:9" ht="12.75">
      <c r="A11" s="31" t="s">
        <v>90</v>
      </c>
      <c r="B11" s="31"/>
      <c r="C11" s="31" t="s">
        <v>184</v>
      </c>
      <c r="D11" s="37">
        <f>'Stavební rozpočet'!H12</f>
        <v>0</v>
      </c>
      <c r="E11" s="37">
        <f>'Stavební rozpočet'!I12</f>
        <v>0</v>
      </c>
      <c r="F11" s="37">
        <f aca="true" t="shared" si="0" ref="F11:F35">D11+E11</f>
        <v>0</v>
      </c>
      <c r="G11" s="37">
        <f>'Stavební rozpočet'!L12</f>
        <v>1785.3417216000003</v>
      </c>
      <c r="H11" s="26" t="s">
        <v>401</v>
      </c>
      <c r="I11" s="26">
        <f aca="true" t="shared" si="1" ref="I11:I35">IF(H11="F",0,F11)</f>
        <v>0</v>
      </c>
    </row>
    <row r="12" spans="1:9" ht="12.75">
      <c r="A12" s="12" t="s">
        <v>90</v>
      </c>
      <c r="B12" s="12" t="s">
        <v>92</v>
      </c>
      <c r="C12" s="12" t="s">
        <v>185</v>
      </c>
      <c r="D12" s="26">
        <f>'Stavební rozpočet'!H13</f>
        <v>0</v>
      </c>
      <c r="E12" s="26">
        <f>'Stavební rozpočet'!I13</f>
        <v>0</v>
      </c>
      <c r="F12" s="26">
        <f t="shared" si="0"/>
        <v>0</v>
      </c>
      <c r="G12" s="26">
        <f>'Stavební rozpočet'!L13</f>
        <v>0</v>
      </c>
      <c r="H12" s="26" t="s">
        <v>402</v>
      </c>
      <c r="I12" s="26">
        <f t="shared" si="1"/>
        <v>0</v>
      </c>
    </row>
    <row r="13" spans="1:9" ht="12.75">
      <c r="A13" s="12" t="s">
        <v>90</v>
      </c>
      <c r="B13" s="12" t="s">
        <v>17</v>
      </c>
      <c r="C13" s="12" t="s">
        <v>188</v>
      </c>
      <c r="D13" s="26">
        <f>'Stavební rozpočet'!H17</f>
        <v>0</v>
      </c>
      <c r="E13" s="26">
        <f>'Stavební rozpočet'!I17</f>
        <v>0</v>
      </c>
      <c r="F13" s="26">
        <f t="shared" si="0"/>
        <v>0</v>
      </c>
      <c r="G13" s="26">
        <f>'Stavební rozpočet'!L17</f>
        <v>533.2510000000002</v>
      </c>
      <c r="H13" s="26" t="s">
        <v>402</v>
      </c>
      <c r="I13" s="26">
        <f t="shared" si="1"/>
        <v>0</v>
      </c>
    </row>
    <row r="14" spans="1:9" ht="12.75">
      <c r="A14" s="12" t="s">
        <v>90</v>
      </c>
      <c r="B14" s="12" t="s">
        <v>18</v>
      </c>
      <c r="C14" s="12" t="s">
        <v>198</v>
      </c>
      <c r="D14" s="26">
        <f>'Stavební rozpočet'!H27</f>
        <v>0</v>
      </c>
      <c r="E14" s="26">
        <f>'Stavební rozpočet'!I27</f>
        <v>0</v>
      </c>
      <c r="F14" s="26">
        <f t="shared" si="0"/>
        <v>0</v>
      </c>
      <c r="G14" s="26">
        <f>'Stavební rozpočet'!L27</f>
        <v>0</v>
      </c>
      <c r="H14" s="26" t="s">
        <v>402</v>
      </c>
      <c r="I14" s="26">
        <f t="shared" si="1"/>
        <v>0</v>
      </c>
    </row>
    <row r="15" spans="1:9" ht="12.75">
      <c r="A15" s="12" t="s">
        <v>90</v>
      </c>
      <c r="B15" s="12" t="s">
        <v>19</v>
      </c>
      <c r="C15" s="12" t="s">
        <v>203</v>
      </c>
      <c r="D15" s="26">
        <f>'Stavební rozpočet'!H32</f>
        <v>0</v>
      </c>
      <c r="E15" s="26">
        <f>'Stavební rozpočet'!I32</f>
        <v>0</v>
      </c>
      <c r="F15" s="26">
        <f t="shared" si="0"/>
        <v>0</v>
      </c>
      <c r="G15" s="26">
        <f>'Stavební rozpočet'!L32</f>
        <v>0</v>
      </c>
      <c r="H15" s="26" t="s">
        <v>402</v>
      </c>
      <c r="I15" s="26">
        <f t="shared" si="1"/>
        <v>0</v>
      </c>
    </row>
    <row r="16" spans="1:9" ht="12.75">
      <c r="A16" s="12" t="s">
        <v>90</v>
      </c>
      <c r="B16" s="12" t="s">
        <v>22</v>
      </c>
      <c r="C16" s="12" t="s">
        <v>208</v>
      </c>
      <c r="D16" s="26">
        <f>'Stavební rozpočet'!H37</f>
        <v>0</v>
      </c>
      <c r="E16" s="26">
        <f>'Stavební rozpočet'!I37</f>
        <v>0</v>
      </c>
      <c r="F16" s="26">
        <f t="shared" si="0"/>
        <v>0</v>
      </c>
      <c r="G16" s="26">
        <f>'Stavební rozpočet'!L37</f>
        <v>0</v>
      </c>
      <c r="H16" s="26" t="s">
        <v>402</v>
      </c>
      <c r="I16" s="26">
        <f t="shared" si="1"/>
        <v>0</v>
      </c>
    </row>
    <row r="17" spans="1:9" ht="12.75">
      <c r="A17" s="12" t="s">
        <v>90</v>
      </c>
      <c r="B17" s="12" t="s">
        <v>23</v>
      </c>
      <c r="C17" s="12" t="s">
        <v>213</v>
      </c>
      <c r="D17" s="26">
        <f>'Stavební rozpočet'!H42</f>
        <v>0</v>
      </c>
      <c r="E17" s="26">
        <f>'Stavební rozpočet'!I42</f>
        <v>0</v>
      </c>
      <c r="F17" s="26">
        <f t="shared" si="0"/>
        <v>0</v>
      </c>
      <c r="G17" s="26">
        <f>'Stavební rozpočet'!L42</f>
        <v>22.95</v>
      </c>
      <c r="H17" s="26" t="s">
        <v>402</v>
      </c>
      <c r="I17" s="26">
        <f t="shared" si="1"/>
        <v>0</v>
      </c>
    </row>
    <row r="18" spans="1:9" ht="12.75">
      <c r="A18" s="12" t="s">
        <v>90</v>
      </c>
      <c r="B18" s="12" t="s">
        <v>24</v>
      </c>
      <c r="C18" s="12" t="s">
        <v>218</v>
      </c>
      <c r="D18" s="26">
        <f>'Stavební rozpočet'!H47</f>
        <v>0</v>
      </c>
      <c r="E18" s="26">
        <f>'Stavební rozpočet'!I47</f>
        <v>0</v>
      </c>
      <c r="F18" s="26">
        <f t="shared" si="0"/>
        <v>0</v>
      </c>
      <c r="G18" s="26">
        <f>'Stavební rozpočet'!L47</f>
        <v>0</v>
      </c>
      <c r="H18" s="26" t="s">
        <v>402</v>
      </c>
      <c r="I18" s="26">
        <f t="shared" si="1"/>
        <v>0</v>
      </c>
    </row>
    <row r="19" spans="1:9" ht="12.75">
      <c r="A19" s="12" t="s">
        <v>90</v>
      </c>
      <c r="B19" s="12" t="s">
        <v>25</v>
      </c>
      <c r="C19" s="12" t="s">
        <v>223</v>
      </c>
      <c r="D19" s="26">
        <f>'Stavební rozpočet'!H52</f>
        <v>0</v>
      </c>
      <c r="E19" s="26">
        <f>'Stavební rozpočet'!I52</f>
        <v>0</v>
      </c>
      <c r="F19" s="26">
        <f t="shared" si="0"/>
        <v>0</v>
      </c>
      <c r="G19" s="26">
        <f>'Stavební rozpočet'!L52</f>
        <v>0</v>
      </c>
      <c r="H19" s="26" t="s">
        <v>402</v>
      </c>
      <c r="I19" s="26">
        <f t="shared" si="1"/>
        <v>0</v>
      </c>
    </row>
    <row r="20" spans="1:9" ht="12.75">
      <c r="A20" s="12" t="s">
        <v>90</v>
      </c>
      <c r="B20" s="12" t="s">
        <v>27</v>
      </c>
      <c r="C20" s="12" t="s">
        <v>226</v>
      </c>
      <c r="D20" s="26">
        <f>'Stavební rozpočet'!H55</f>
        <v>0</v>
      </c>
      <c r="E20" s="26">
        <f>'Stavební rozpočet'!I55</f>
        <v>0</v>
      </c>
      <c r="F20" s="26">
        <f t="shared" si="0"/>
        <v>0</v>
      </c>
      <c r="G20" s="26">
        <f>'Stavební rozpočet'!L55</f>
        <v>21.087</v>
      </c>
      <c r="H20" s="26" t="s">
        <v>402</v>
      </c>
      <c r="I20" s="26">
        <f t="shared" si="1"/>
        <v>0</v>
      </c>
    </row>
    <row r="21" spans="1:9" ht="12.75">
      <c r="A21" s="12" t="s">
        <v>90</v>
      </c>
      <c r="B21" s="12" t="s">
        <v>33</v>
      </c>
      <c r="C21" s="12" t="s">
        <v>229</v>
      </c>
      <c r="D21" s="26">
        <f>'Stavební rozpočet'!H58</f>
        <v>0</v>
      </c>
      <c r="E21" s="26">
        <f>'Stavební rozpočet'!I58</f>
        <v>0</v>
      </c>
      <c r="F21" s="26">
        <f t="shared" si="0"/>
        <v>0</v>
      </c>
      <c r="G21" s="26">
        <f>'Stavební rozpočet'!L58</f>
        <v>0.1956976</v>
      </c>
      <c r="H21" s="26" t="s">
        <v>402</v>
      </c>
      <c r="I21" s="26">
        <f t="shared" si="1"/>
        <v>0</v>
      </c>
    </row>
    <row r="22" spans="1:9" ht="12.75">
      <c r="A22" s="12" t="s">
        <v>90</v>
      </c>
      <c r="B22" s="12" t="s">
        <v>51</v>
      </c>
      <c r="C22" s="12" t="s">
        <v>232</v>
      </c>
      <c r="D22" s="26">
        <f>'Stavební rozpočet'!H61</f>
        <v>0</v>
      </c>
      <c r="E22" s="26">
        <f>'Stavební rozpočet'!I61</f>
        <v>0</v>
      </c>
      <c r="F22" s="26">
        <f t="shared" si="0"/>
        <v>0</v>
      </c>
      <c r="G22" s="26">
        <f>'Stavební rozpočet'!L61</f>
        <v>3.0569400000000004</v>
      </c>
      <c r="H22" s="26" t="s">
        <v>402</v>
      </c>
      <c r="I22" s="26">
        <f t="shared" si="1"/>
        <v>0</v>
      </c>
    </row>
    <row r="23" spans="1:9" ht="12.75">
      <c r="A23" s="12" t="s">
        <v>90</v>
      </c>
      <c r="B23" s="12" t="s">
        <v>62</v>
      </c>
      <c r="C23" s="12" t="s">
        <v>235</v>
      </c>
      <c r="D23" s="26">
        <f>'Stavební rozpočet'!H64</f>
        <v>0</v>
      </c>
      <c r="E23" s="26">
        <f>'Stavební rozpočet'!I64</f>
        <v>0</v>
      </c>
      <c r="F23" s="26">
        <f t="shared" si="0"/>
        <v>0</v>
      </c>
      <c r="G23" s="26">
        <f>'Stavební rozpočet'!L64</f>
        <v>818.723137</v>
      </c>
      <c r="H23" s="26" t="s">
        <v>402</v>
      </c>
      <c r="I23" s="26">
        <f t="shared" si="1"/>
        <v>0</v>
      </c>
    </row>
    <row r="24" spans="1:9" ht="12.75">
      <c r="A24" s="12" t="s">
        <v>90</v>
      </c>
      <c r="B24" s="12" t="s">
        <v>64</v>
      </c>
      <c r="C24" s="12" t="s">
        <v>244</v>
      </c>
      <c r="D24" s="26">
        <f>'Stavební rozpočet'!H73</f>
        <v>0</v>
      </c>
      <c r="E24" s="26">
        <f>'Stavební rozpočet'!I73</f>
        <v>0</v>
      </c>
      <c r="F24" s="26">
        <f t="shared" si="0"/>
        <v>0</v>
      </c>
      <c r="G24" s="26">
        <f>'Stavební rozpočet'!L73</f>
        <v>216.522764</v>
      </c>
      <c r="H24" s="26" t="s">
        <v>402</v>
      </c>
      <c r="I24" s="26">
        <f t="shared" si="1"/>
        <v>0</v>
      </c>
    </row>
    <row r="25" spans="1:9" ht="12.75">
      <c r="A25" s="12" t="s">
        <v>90</v>
      </c>
      <c r="B25" s="12" t="s">
        <v>65</v>
      </c>
      <c r="C25" s="12" t="s">
        <v>248</v>
      </c>
      <c r="D25" s="26">
        <f>'Stavební rozpočet'!H78</f>
        <v>0</v>
      </c>
      <c r="E25" s="26">
        <f>'Stavební rozpočet'!I78</f>
        <v>0</v>
      </c>
      <c r="F25" s="26">
        <f t="shared" si="0"/>
        <v>0</v>
      </c>
      <c r="G25" s="26">
        <f>'Stavební rozpočet'!L78</f>
        <v>101.50164299999999</v>
      </c>
      <c r="H25" s="26" t="s">
        <v>402</v>
      </c>
      <c r="I25" s="26">
        <f t="shared" si="1"/>
        <v>0</v>
      </c>
    </row>
    <row r="26" spans="1:9" ht="12.75">
      <c r="A26" s="12" t="s">
        <v>90</v>
      </c>
      <c r="B26" s="12" t="s">
        <v>128</v>
      </c>
      <c r="C26" s="12" t="s">
        <v>259</v>
      </c>
      <c r="D26" s="26">
        <f>'Stavební rozpočet'!H92</f>
        <v>0</v>
      </c>
      <c r="E26" s="26">
        <f>'Stavební rozpočet'!I92</f>
        <v>0</v>
      </c>
      <c r="F26" s="26">
        <f t="shared" si="0"/>
        <v>0</v>
      </c>
      <c r="G26" s="26">
        <f>'Stavební rozpočet'!L92</f>
        <v>0.14445</v>
      </c>
      <c r="H26" s="26" t="s">
        <v>402</v>
      </c>
      <c r="I26" s="26">
        <f t="shared" si="1"/>
        <v>0</v>
      </c>
    </row>
    <row r="27" spans="1:9" ht="12.75">
      <c r="A27" s="12" t="s">
        <v>90</v>
      </c>
      <c r="B27" s="12" t="s">
        <v>131</v>
      </c>
      <c r="C27" s="12" t="s">
        <v>260</v>
      </c>
      <c r="D27" s="26">
        <f>'Stavební rozpočet'!H96</f>
        <v>0</v>
      </c>
      <c r="E27" s="26">
        <f>'Stavební rozpočet'!I96</f>
        <v>0</v>
      </c>
      <c r="F27" s="26">
        <f t="shared" si="0"/>
        <v>0</v>
      </c>
      <c r="G27" s="26">
        <f>'Stavební rozpočet'!L96</f>
        <v>5.6862</v>
      </c>
      <c r="H27" s="26" t="s">
        <v>402</v>
      </c>
      <c r="I27" s="26">
        <f t="shared" si="1"/>
        <v>0</v>
      </c>
    </row>
    <row r="28" spans="1:9" ht="12.75">
      <c r="A28" s="12" t="s">
        <v>90</v>
      </c>
      <c r="B28" s="12" t="s">
        <v>133</v>
      </c>
      <c r="C28" s="12" t="s">
        <v>262</v>
      </c>
      <c r="D28" s="26">
        <f>'Stavební rozpočet'!H101</f>
        <v>0</v>
      </c>
      <c r="E28" s="26">
        <f>'Stavební rozpočet'!I101</f>
        <v>0</v>
      </c>
      <c r="F28" s="26">
        <f t="shared" si="0"/>
        <v>0</v>
      </c>
      <c r="G28" s="26">
        <f>'Stavební rozpočet'!L101</f>
        <v>59.258500000000005</v>
      </c>
      <c r="H28" s="26" t="s">
        <v>402</v>
      </c>
      <c r="I28" s="26">
        <f t="shared" si="1"/>
        <v>0</v>
      </c>
    </row>
    <row r="29" spans="1:9" ht="12.75">
      <c r="A29" s="12" t="s">
        <v>90</v>
      </c>
      <c r="B29" s="12" t="s">
        <v>149</v>
      </c>
      <c r="C29" s="12" t="s">
        <v>281</v>
      </c>
      <c r="D29" s="26">
        <f>'Stavební rozpočet'!H126</f>
        <v>0</v>
      </c>
      <c r="E29" s="26">
        <f>'Stavební rozpočet'!I126</f>
        <v>0</v>
      </c>
      <c r="F29" s="26">
        <f t="shared" si="0"/>
        <v>0</v>
      </c>
      <c r="G29" s="26">
        <f>'Stavební rozpočet'!L126</f>
        <v>0.0221</v>
      </c>
      <c r="H29" s="26" t="s">
        <v>402</v>
      </c>
      <c r="I29" s="26">
        <f t="shared" si="1"/>
        <v>0</v>
      </c>
    </row>
    <row r="30" spans="1:9" ht="12.75">
      <c r="A30" s="12" t="s">
        <v>90</v>
      </c>
      <c r="B30" s="12" t="s">
        <v>151</v>
      </c>
      <c r="C30" s="12" t="s">
        <v>284</v>
      </c>
      <c r="D30" s="26">
        <f>'Stavební rozpočet'!H129</f>
        <v>0</v>
      </c>
      <c r="E30" s="26">
        <f>'Stavební rozpočet'!I129</f>
        <v>0</v>
      </c>
      <c r="F30" s="26">
        <f t="shared" si="0"/>
        <v>0</v>
      </c>
      <c r="G30" s="26">
        <f>'Stavební rozpočet'!L129</f>
        <v>0</v>
      </c>
      <c r="H30" s="26" t="s">
        <v>402</v>
      </c>
      <c r="I30" s="26">
        <f t="shared" si="1"/>
        <v>0</v>
      </c>
    </row>
    <row r="31" spans="1:9" ht="12.75">
      <c r="A31" s="12" t="s">
        <v>90</v>
      </c>
      <c r="B31" s="12" t="s">
        <v>158</v>
      </c>
      <c r="C31" s="12" t="s">
        <v>294</v>
      </c>
      <c r="D31" s="26">
        <f>'Stavební rozpočet'!H139</f>
        <v>0</v>
      </c>
      <c r="E31" s="26">
        <f>'Stavební rozpočet'!I139</f>
        <v>0</v>
      </c>
      <c r="F31" s="26">
        <f t="shared" si="0"/>
        <v>0</v>
      </c>
      <c r="G31" s="26">
        <f>'Stavební rozpočet'!L139</f>
        <v>0</v>
      </c>
      <c r="H31" s="26" t="s">
        <v>402</v>
      </c>
      <c r="I31" s="26">
        <f t="shared" si="1"/>
        <v>0</v>
      </c>
    </row>
    <row r="32" spans="1:9" ht="12.75">
      <c r="A32" s="12" t="s">
        <v>90</v>
      </c>
      <c r="B32" s="12" t="s">
        <v>160</v>
      </c>
      <c r="C32" s="12" t="s">
        <v>296</v>
      </c>
      <c r="D32" s="26">
        <f>'Stavební rozpočet'!H141</f>
        <v>0</v>
      </c>
      <c r="E32" s="26">
        <f>'Stavební rozpočet'!I141</f>
        <v>0</v>
      </c>
      <c r="F32" s="26">
        <f t="shared" si="0"/>
        <v>0</v>
      </c>
      <c r="G32" s="26">
        <f>'Stavební rozpočet'!L141</f>
        <v>0.020569999999999998</v>
      </c>
      <c r="H32" s="26" t="s">
        <v>402</v>
      </c>
      <c r="I32" s="26">
        <f t="shared" si="1"/>
        <v>0</v>
      </c>
    </row>
    <row r="33" spans="1:9" ht="12.75">
      <c r="A33" s="12" t="s">
        <v>90</v>
      </c>
      <c r="B33" s="12" t="s">
        <v>163</v>
      </c>
      <c r="C33" s="12" t="s">
        <v>299</v>
      </c>
      <c r="D33" s="26">
        <f>'Stavební rozpočet'!H146</f>
        <v>0</v>
      </c>
      <c r="E33" s="26">
        <f>'Stavební rozpočet'!I146</f>
        <v>0</v>
      </c>
      <c r="F33" s="26">
        <f t="shared" si="0"/>
        <v>0</v>
      </c>
      <c r="G33" s="26">
        <f>'Stavební rozpočet'!L146</f>
        <v>2.21422</v>
      </c>
      <c r="H33" s="26" t="s">
        <v>402</v>
      </c>
      <c r="I33" s="26">
        <f t="shared" si="1"/>
        <v>0</v>
      </c>
    </row>
    <row r="34" spans="1:9" ht="12.75">
      <c r="A34" s="12" t="s">
        <v>90</v>
      </c>
      <c r="B34" s="12" t="s">
        <v>168</v>
      </c>
      <c r="C34" s="12" t="s">
        <v>306</v>
      </c>
      <c r="D34" s="26">
        <f>'Stavební rozpočet'!H155</f>
        <v>0</v>
      </c>
      <c r="E34" s="26">
        <f>'Stavební rozpočet'!I155</f>
        <v>0</v>
      </c>
      <c r="F34" s="26">
        <f t="shared" si="0"/>
        <v>0</v>
      </c>
      <c r="G34" s="26">
        <f>'Stavební rozpočet'!L155</f>
        <v>0</v>
      </c>
      <c r="H34" s="26" t="s">
        <v>402</v>
      </c>
      <c r="I34" s="26">
        <f t="shared" si="1"/>
        <v>0</v>
      </c>
    </row>
    <row r="35" spans="1:9" ht="12.75">
      <c r="A35" s="12" t="s">
        <v>90</v>
      </c>
      <c r="B35" s="12"/>
      <c r="C35" s="12" t="s">
        <v>314</v>
      </c>
      <c r="D35" s="26">
        <f>'Stavební rozpočet'!H163</f>
        <v>0</v>
      </c>
      <c r="E35" s="26">
        <f>'Stavební rozpočet'!I163</f>
        <v>0</v>
      </c>
      <c r="F35" s="26">
        <f t="shared" si="0"/>
        <v>0</v>
      </c>
      <c r="G35" s="26">
        <f>'Stavební rozpočet'!L163</f>
        <v>0.7075</v>
      </c>
      <c r="H35" s="26" t="s">
        <v>402</v>
      </c>
      <c r="I35" s="26">
        <f t="shared" si="1"/>
        <v>0</v>
      </c>
    </row>
    <row r="37" spans="5:6" ht="12.75">
      <c r="E37" s="35" t="s">
        <v>341</v>
      </c>
      <c r="F37" s="38">
        <f>(SUM(I11:I35))</f>
        <v>0</v>
      </c>
    </row>
  </sheetData>
  <sheetProtection password="ED26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G21" sqref="G2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2.0039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11.57421875" style="0" hidden="1" customWidth="1"/>
    <col min="15" max="48" width="12.140625" style="0" hidden="1" customWidth="1"/>
    <col min="49" max="53" width="11.57421875" style="0" hidden="1" customWidth="1"/>
    <col min="54" max="74" width="11.57421875" style="0" customWidth="1"/>
  </cols>
  <sheetData>
    <row r="1" spans="1:13" ht="72.7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12.75">
      <c r="A2" s="92" t="s">
        <v>1</v>
      </c>
      <c r="B2" s="93"/>
      <c r="C2" s="93"/>
      <c r="D2" s="96" t="s">
        <v>447</v>
      </c>
      <c r="E2" s="137" t="s">
        <v>321</v>
      </c>
      <c r="F2" s="93"/>
      <c r="G2" s="137" t="s">
        <v>6</v>
      </c>
      <c r="H2" s="93"/>
      <c r="I2" s="99" t="s">
        <v>342</v>
      </c>
      <c r="J2" s="99" t="s">
        <v>347</v>
      </c>
      <c r="K2" s="93"/>
      <c r="L2" s="93"/>
      <c r="M2" s="133"/>
      <c r="N2" s="1"/>
    </row>
    <row r="3" spans="1:14" ht="12.75">
      <c r="A3" s="94"/>
      <c r="B3" s="95"/>
      <c r="C3" s="95"/>
      <c r="D3" s="98"/>
      <c r="E3" s="95"/>
      <c r="F3" s="95"/>
      <c r="G3" s="95"/>
      <c r="H3" s="95"/>
      <c r="I3" s="95"/>
      <c r="J3" s="95"/>
      <c r="K3" s="95"/>
      <c r="L3" s="95"/>
      <c r="M3" s="101"/>
      <c r="N3" s="1"/>
    </row>
    <row r="4" spans="1:14" ht="12.75">
      <c r="A4" s="102" t="s">
        <v>2</v>
      </c>
      <c r="B4" s="95"/>
      <c r="C4" s="95"/>
      <c r="D4" s="103" t="s">
        <v>181</v>
      </c>
      <c r="E4" s="105" t="s">
        <v>322</v>
      </c>
      <c r="F4" s="95"/>
      <c r="G4" s="105"/>
      <c r="H4" s="95"/>
      <c r="I4" s="103" t="s">
        <v>343</v>
      </c>
      <c r="J4" s="103" t="s">
        <v>348</v>
      </c>
      <c r="K4" s="95"/>
      <c r="L4" s="95"/>
      <c r="M4" s="101"/>
      <c r="N4" s="1"/>
    </row>
    <row r="5" spans="1:14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101"/>
      <c r="N5" s="1"/>
    </row>
    <row r="6" spans="1:14" ht="12.75">
      <c r="A6" s="102" t="s">
        <v>3</v>
      </c>
      <c r="B6" s="95"/>
      <c r="C6" s="95"/>
      <c r="D6" s="103" t="s">
        <v>6</v>
      </c>
      <c r="E6" s="105" t="s">
        <v>323</v>
      </c>
      <c r="F6" s="95"/>
      <c r="G6" s="105" t="s">
        <v>6</v>
      </c>
      <c r="H6" s="95"/>
      <c r="I6" s="103" t="s">
        <v>344</v>
      </c>
      <c r="J6" s="138"/>
      <c r="K6" s="139"/>
      <c r="L6" s="139"/>
      <c r="M6" s="140"/>
      <c r="N6" s="1"/>
    </row>
    <row r="7" spans="1:14" ht="12.75">
      <c r="A7" s="94"/>
      <c r="B7" s="95"/>
      <c r="C7" s="95"/>
      <c r="D7" s="95"/>
      <c r="E7" s="95"/>
      <c r="F7" s="95"/>
      <c r="G7" s="95"/>
      <c r="H7" s="95"/>
      <c r="I7" s="95"/>
      <c r="J7" s="139"/>
      <c r="K7" s="139"/>
      <c r="L7" s="139"/>
      <c r="M7" s="140"/>
      <c r="N7" s="1"/>
    </row>
    <row r="8" spans="1:14" ht="12.75">
      <c r="A8" s="102" t="s">
        <v>4</v>
      </c>
      <c r="B8" s="95"/>
      <c r="C8" s="95"/>
      <c r="D8" s="103" t="s">
        <v>6</v>
      </c>
      <c r="E8" s="105" t="s">
        <v>324</v>
      </c>
      <c r="F8" s="95"/>
      <c r="G8" s="145"/>
      <c r="H8" s="139"/>
      <c r="I8" s="103" t="s">
        <v>345</v>
      </c>
      <c r="J8" s="138"/>
      <c r="K8" s="139"/>
      <c r="L8" s="139"/>
      <c r="M8" s="140"/>
      <c r="N8" s="1"/>
    </row>
    <row r="9" spans="1:14" ht="12.75">
      <c r="A9" s="134"/>
      <c r="B9" s="135"/>
      <c r="C9" s="135"/>
      <c r="D9" s="135"/>
      <c r="E9" s="135"/>
      <c r="F9" s="135"/>
      <c r="G9" s="146"/>
      <c r="H9" s="146"/>
      <c r="I9" s="135"/>
      <c r="J9" s="146"/>
      <c r="K9" s="146"/>
      <c r="L9" s="146"/>
      <c r="M9" s="147"/>
      <c r="N9" s="1"/>
    </row>
    <row r="10" spans="1:14" ht="12.75">
      <c r="A10" s="2" t="s">
        <v>5</v>
      </c>
      <c r="B10" s="9" t="s">
        <v>89</v>
      </c>
      <c r="C10" s="9" t="s">
        <v>91</v>
      </c>
      <c r="D10" s="9" t="s">
        <v>182</v>
      </c>
      <c r="E10" s="9" t="s">
        <v>325</v>
      </c>
      <c r="F10" s="13" t="s">
        <v>336</v>
      </c>
      <c r="G10" s="18" t="s">
        <v>337</v>
      </c>
      <c r="H10" s="141" t="s">
        <v>339</v>
      </c>
      <c r="I10" s="142"/>
      <c r="J10" s="143"/>
      <c r="K10" s="141" t="s">
        <v>350</v>
      </c>
      <c r="L10" s="143"/>
      <c r="M10" s="21" t="s">
        <v>351</v>
      </c>
      <c r="N10" s="25"/>
    </row>
    <row r="11" spans="1:24" ht="12.75">
      <c r="A11" s="54" t="s">
        <v>6</v>
      </c>
      <c r="B11" s="55" t="s">
        <v>6</v>
      </c>
      <c r="C11" s="55" t="s">
        <v>6</v>
      </c>
      <c r="D11" s="58" t="s">
        <v>183</v>
      </c>
      <c r="E11" s="55" t="s">
        <v>6</v>
      </c>
      <c r="F11" s="55" t="s">
        <v>6</v>
      </c>
      <c r="G11" s="59" t="s">
        <v>338</v>
      </c>
      <c r="H11" s="60" t="s">
        <v>340</v>
      </c>
      <c r="I11" s="61" t="s">
        <v>346</v>
      </c>
      <c r="J11" s="63" t="s">
        <v>349</v>
      </c>
      <c r="K11" s="60" t="s">
        <v>337</v>
      </c>
      <c r="L11" s="63" t="s">
        <v>349</v>
      </c>
      <c r="M11" s="66" t="s">
        <v>352</v>
      </c>
      <c r="N11" s="25"/>
      <c r="P11" s="19" t="s">
        <v>354</v>
      </c>
      <c r="Q11" s="19" t="s">
        <v>355</v>
      </c>
      <c r="R11" s="19" t="s">
        <v>356</v>
      </c>
      <c r="S11" s="19" t="s">
        <v>357</v>
      </c>
      <c r="T11" s="19" t="s">
        <v>358</v>
      </c>
      <c r="U11" s="19" t="s">
        <v>359</v>
      </c>
      <c r="V11" s="19" t="s">
        <v>360</v>
      </c>
      <c r="W11" s="19" t="s">
        <v>361</v>
      </c>
      <c r="X11" s="19" t="s">
        <v>362</v>
      </c>
    </row>
    <row r="12" spans="1:13" ht="12.75">
      <c r="A12" s="56"/>
      <c r="B12" s="57" t="s">
        <v>90</v>
      </c>
      <c r="C12" s="57"/>
      <c r="D12" s="57" t="s">
        <v>184</v>
      </c>
      <c r="E12" s="56" t="s">
        <v>6</v>
      </c>
      <c r="F12" s="56" t="s">
        <v>6</v>
      </c>
      <c r="G12" s="56" t="s">
        <v>6</v>
      </c>
      <c r="H12" s="62">
        <f>H13+H17+H27+H32+H37+H42+H47+H52+H55+H58+H61+H64+H73+H78+H92+H96+H101+H126+H129+H139+H141+H146+H155+H163</f>
        <v>0</v>
      </c>
      <c r="I12" s="62">
        <f>I13+I17+I27+I32+I37+I42+I47+I52+I55+I58+I61+I64+I73+I78+I92+I96+I101+I126+I129+I139+I141+I146+I155+I163</f>
        <v>0</v>
      </c>
      <c r="J12" s="62">
        <f>H12+I12</f>
        <v>0</v>
      </c>
      <c r="K12" s="65"/>
      <c r="L12" s="62">
        <f>L13+L17+L27+L32+L37+L42+L47+L52+L55+L58+L61+L64+L73+L78+L92+L96+L101+L126+L129+L139+L141+L146+L155+L163</f>
        <v>1785.3417216000003</v>
      </c>
      <c r="M12" s="64"/>
    </row>
    <row r="13" spans="1:37" ht="12.75">
      <c r="A13" s="67"/>
      <c r="B13" s="68" t="s">
        <v>90</v>
      </c>
      <c r="C13" s="68" t="s">
        <v>92</v>
      </c>
      <c r="D13" s="68" t="s">
        <v>185</v>
      </c>
      <c r="E13" s="67" t="s">
        <v>6</v>
      </c>
      <c r="F13" s="67" t="s">
        <v>6</v>
      </c>
      <c r="G13" s="67" t="s">
        <v>6</v>
      </c>
      <c r="H13" s="69">
        <f>SUM(H14:H16)</f>
        <v>0</v>
      </c>
      <c r="I13" s="69">
        <f>SUM(I14:I16)</f>
        <v>0</v>
      </c>
      <c r="J13" s="69">
        <f>H13+I13</f>
        <v>0</v>
      </c>
      <c r="K13" s="70"/>
      <c r="L13" s="69">
        <f>SUM(L14:L16)</f>
        <v>0</v>
      </c>
      <c r="M13" s="70"/>
      <c r="Y13" s="19" t="s">
        <v>90</v>
      </c>
      <c r="AI13" s="28">
        <f>SUM(Z14:Z16)</f>
        <v>0</v>
      </c>
      <c r="AJ13" s="28">
        <f>SUM(AA14:AA16)</f>
        <v>0</v>
      </c>
      <c r="AK13" s="28">
        <f>SUM(AB14:AB16)</f>
        <v>0</v>
      </c>
    </row>
    <row r="14" spans="1:48" ht="12.75">
      <c r="A14" s="12" t="s">
        <v>7</v>
      </c>
      <c r="B14" s="12" t="s">
        <v>90</v>
      </c>
      <c r="C14" s="12" t="s">
        <v>93</v>
      </c>
      <c r="D14" s="12" t="s">
        <v>186</v>
      </c>
      <c r="E14" s="12" t="s">
        <v>326</v>
      </c>
      <c r="F14" s="26">
        <v>1</v>
      </c>
      <c r="G14" s="75"/>
      <c r="H14" s="26">
        <f>F14*AE14</f>
        <v>0</v>
      </c>
      <c r="I14" s="26">
        <f>J14-H14</f>
        <v>0</v>
      </c>
      <c r="J14" s="26">
        <f>F14*G14</f>
        <v>0</v>
      </c>
      <c r="K14" s="26">
        <v>0</v>
      </c>
      <c r="L14" s="26">
        <f>F14*K14</f>
        <v>0</v>
      </c>
      <c r="M14" s="27"/>
      <c r="P14" s="26">
        <f>IF(AG14="5",J14,0)</f>
        <v>0</v>
      </c>
      <c r="R14" s="26">
        <f>IF(AG14="1",H14,0)</f>
        <v>0</v>
      </c>
      <c r="S14" s="26">
        <f>IF(AG14="1",I14,0)</f>
        <v>0</v>
      </c>
      <c r="T14" s="26">
        <f>IF(AG14="7",H14,0)</f>
        <v>0</v>
      </c>
      <c r="U14" s="26">
        <f>IF(AG14="7",I14,0)</f>
        <v>0</v>
      </c>
      <c r="V14" s="26">
        <f>IF(AG14="2",H14,0)</f>
        <v>0</v>
      </c>
      <c r="W14" s="26">
        <f>IF(AG14="2",I14,0)</f>
        <v>0</v>
      </c>
      <c r="X14" s="26">
        <f>IF(AG14="0",J14,0)</f>
        <v>0</v>
      </c>
      <c r="Y14" s="19" t="s">
        <v>90</v>
      </c>
      <c r="Z14" s="14">
        <f>IF(AD14=0,J14,0)</f>
        <v>0</v>
      </c>
      <c r="AA14" s="14">
        <f>IF(AD14=15,J14,0)</f>
        <v>0</v>
      </c>
      <c r="AB14" s="14">
        <f>IF(AD14=21,J14,0)</f>
        <v>0</v>
      </c>
      <c r="AD14" s="26">
        <v>21</v>
      </c>
      <c r="AE14" s="26">
        <f>G14*0</f>
        <v>0</v>
      </c>
      <c r="AF14" s="26">
        <f>G14*(1-0)</f>
        <v>0</v>
      </c>
      <c r="AG14" s="22" t="s">
        <v>7</v>
      </c>
      <c r="AM14" s="26">
        <f>F14*AE14</f>
        <v>0</v>
      </c>
      <c r="AN14" s="26">
        <f>F14*AF14</f>
        <v>0</v>
      </c>
      <c r="AO14" s="27" t="s">
        <v>363</v>
      </c>
      <c r="AP14" s="27" t="s">
        <v>387</v>
      </c>
      <c r="AQ14" s="19" t="s">
        <v>395</v>
      </c>
      <c r="AS14" s="26">
        <f>AM14+AN14</f>
        <v>0</v>
      </c>
      <c r="AT14" s="26">
        <f>G14/(100-AU14)*100</f>
        <v>0</v>
      </c>
      <c r="AU14" s="26">
        <v>0</v>
      </c>
      <c r="AV14" s="26">
        <f>L14</f>
        <v>0</v>
      </c>
    </row>
    <row r="15" spans="1:48" s="83" customFormat="1" ht="12.75">
      <c r="A15" s="89" t="s">
        <v>8</v>
      </c>
      <c r="B15" s="89" t="s">
        <v>90</v>
      </c>
      <c r="C15" s="89" t="s">
        <v>93</v>
      </c>
      <c r="D15" s="89" t="s">
        <v>469</v>
      </c>
      <c r="E15" s="89" t="s">
        <v>326</v>
      </c>
      <c r="F15" s="80">
        <v>1</v>
      </c>
      <c r="G15" s="81"/>
      <c r="H15" s="80">
        <f>F15*AE15</f>
        <v>0</v>
      </c>
      <c r="I15" s="80">
        <f>J15-H15</f>
        <v>0</v>
      </c>
      <c r="J15" s="80">
        <f>F15*G15</f>
        <v>0</v>
      </c>
      <c r="K15" s="80">
        <v>0</v>
      </c>
      <c r="L15" s="80">
        <f>F15*K15</f>
        <v>0</v>
      </c>
      <c r="M15" s="82"/>
      <c r="P15" s="80">
        <f>IF(AG15="5",J15,0)</f>
        <v>0</v>
      </c>
      <c r="R15" s="80">
        <f>IF(AG15="1",H15,0)</f>
        <v>0</v>
      </c>
      <c r="S15" s="80">
        <f>IF(AG15="1",I15,0)</f>
        <v>0</v>
      </c>
      <c r="T15" s="80">
        <f>IF(AG15="7",H15,0)</f>
        <v>0</v>
      </c>
      <c r="U15" s="80">
        <f>IF(AG15="7",I15,0)</f>
        <v>0</v>
      </c>
      <c r="V15" s="80">
        <f>IF(AG15="2",H15,0)</f>
        <v>0</v>
      </c>
      <c r="W15" s="80">
        <f>IF(AG15="2",I15,0)</f>
        <v>0</v>
      </c>
      <c r="X15" s="80">
        <f>IF(AG15="0",J15,0)</f>
        <v>0</v>
      </c>
      <c r="Y15" s="84" t="s">
        <v>90</v>
      </c>
      <c r="Z15" s="80">
        <f>IF(AD15=0,J15,0)</f>
        <v>0</v>
      </c>
      <c r="AA15" s="80">
        <f>IF(AD15=15,J15,0)</f>
        <v>0</v>
      </c>
      <c r="AB15" s="80">
        <f>IF(AD15=21,J15,0)</f>
        <v>0</v>
      </c>
      <c r="AD15" s="80">
        <v>21</v>
      </c>
      <c r="AE15" s="80">
        <f>G15*0</f>
        <v>0</v>
      </c>
      <c r="AF15" s="80">
        <f>G15*(1-0)</f>
        <v>0</v>
      </c>
      <c r="AG15" s="82" t="s">
        <v>7</v>
      </c>
      <c r="AM15" s="80">
        <f>F15*AE15</f>
        <v>0</v>
      </c>
      <c r="AN15" s="80">
        <f>F15*AF15</f>
        <v>0</v>
      </c>
      <c r="AO15" s="82" t="s">
        <v>363</v>
      </c>
      <c r="AP15" s="82" t="s">
        <v>387</v>
      </c>
      <c r="AQ15" s="84" t="s">
        <v>395</v>
      </c>
      <c r="AS15" s="80">
        <f>AM15+AN15</f>
        <v>0</v>
      </c>
      <c r="AT15" s="80">
        <f>G15/(100-AU15)*100</f>
        <v>0</v>
      </c>
      <c r="AU15" s="80">
        <v>0</v>
      </c>
      <c r="AV15" s="80">
        <f>L15</f>
        <v>0</v>
      </c>
    </row>
    <row r="16" spans="1:48" ht="12.75">
      <c r="A16" s="12" t="s">
        <v>9</v>
      </c>
      <c r="B16" s="12" t="s">
        <v>90</v>
      </c>
      <c r="C16" s="12" t="s">
        <v>94</v>
      </c>
      <c r="D16" s="12" t="s">
        <v>187</v>
      </c>
      <c r="E16" s="12" t="s">
        <v>326</v>
      </c>
      <c r="F16" s="26">
        <v>1</v>
      </c>
      <c r="G16" s="75"/>
      <c r="H16" s="26">
        <f>F16*AE16</f>
        <v>0</v>
      </c>
      <c r="I16" s="26">
        <f>J16-H16</f>
        <v>0</v>
      </c>
      <c r="J16" s="26">
        <f>F16*G16</f>
        <v>0</v>
      </c>
      <c r="K16" s="26">
        <v>0</v>
      </c>
      <c r="L16" s="26">
        <f>F16*K16</f>
        <v>0</v>
      </c>
      <c r="M16" s="27"/>
      <c r="P16" s="26">
        <f>IF(AG16="5",J16,0)</f>
        <v>0</v>
      </c>
      <c r="R16" s="26">
        <f>IF(AG16="1",H16,0)</f>
        <v>0</v>
      </c>
      <c r="S16" s="26">
        <f>IF(AG16="1",I16,0)</f>
        <v>0</v>
      </c>
      <c r="T16" s="26">
        <f>IF(AG16="7",H16,0)</f>
        <v>0</v>
      </c>
      <c r="U16" s="26">
        <f>IF(AG16="7",I16,0)</f>
        <v>0</v>
      </c>
      <c r="V16" s="26">
        <f>IF(AG16="2",H16,0)</f>
        <v>0</v>
      </c>
      <c r="W16" s="26">
        <f>IF(AG16="2",I16,0)</f>
        <v>0</v>
      </c>
      <c r="X16" s="26">
        <f>IF(AG16="0",J16,0)</f>
        <v>0</v>
      </c>
      <c r="Y16" s="19" t="s">
        <v>90</v>
      </c>
      <c r="Z16" s="14">
        <f>IF(AD16=0,J16,0)</f>
        <v>0</v>
      </c>
      <c r="AA16" s="14">
        <f>IF(AD16=15,J16,0)</f>
        <v>0</v>
      </c>
      <c r="AB16" s="14">
        <f>IF(AD16=21,J16,0)</f>
        <v>0</v>
      </c>
      <c r="AD16" s="26">
        <v>21</v>
      </c>
      <c r="AE16" s="26">
        <f>G16*0</f>
        <v>0</v>
      </c>
      <c r="AF16" s="26">
        <f>G16*(1-0)</f>
        <v>0</v>
      </c>
      <c r="AG16" s="22" t="s">
        <v>7</v>
      </c>
      <c r="AM16" s="26">
        <f>F16*AE16</f>
        <v>0</v>
      </c>
      <c r="AN16" s="26">
        <f>F16*AF16</f>
        <v>0</v>
      </c>
      <c r="AO16" s="27" t="s">
        <v>363</v>
      </c>
      <c r="AP16" s="27" t="s">
        <v>387</v>
      </c>
      <c r="AQ16" s="19" t="s">
        <v>395</v>
      </c>
      <c r="AS16" s="26">
        <f>AM16+AN16</f>
        <v>0</v>
      </c>
      <c r="AT16" s="26">
        <f>G16/(100-AU16)*100</f>
        <v>0</v>
      </c>
      <c r="AU16" s="26">
        <v>0</v>
      </c>
      <c r="AV16" s="26">
        <f>L16</f>
        <v>0</v>
      </c>
    </row>
    <row r="17" spans="1:37" ht="12.75">
      <c r="A17" s="3"/>
      <c r="B17" s="10" t="s">
        <v>90</v>
      </c>
      <c r="C17" s="10" t="s">
        <v>17</v>
      </c>
      <c r="D17" s="10" t="s">
        <v>188</v>
      </c>
      <c r="E17" s="3" t="s">
        <v>6</v>
      </c>
      <c r="F17" s="3" t="s">
        <v>6</v>
      </c>
      <c r="G17" s="3" t="s">
        <v>6</v>
      </c>
      <c r="H17" s="28">
        <f>SUM(H18:H25)</f>
        <v>0</v>
      </c>
      <c r="I17" s="28">
        <f>SUM(I18:I25)</f>
        <v>0</v>
      </c>
      <c r="J17" s="28">
        <f>H17+I17</f>
        <v>0</v>
      </c>
      <c r="K17" s="19"/>
      <c r="L17" s="28">
        <f>SUM(L18:L25)</f>
        <v>533.2510000000002</v>
      </c>
      <c r="M17" s="19"/>
      <c r="Y17" s="19" t="s">
        <v>90</v>
      </c>
      <c r="AI17" s="28">
        <f>SUM(Z18:Z25)</f>
        <v>0</v>
      </c>
      <c r="AJ17" s="28">
        <f>SUM(AA18:AA25)</f>
        <v>0</v>
      </c>
      <c r="AK17" s="28">
        <f>SUM(AB18:AB25)</f>
        <v>0</v>
      </c>
    </row>
    <row r="18" spans="1:48" ht="12.75">
      <c r="A18" s="4" t="s">
        <v>10</v>
      </c>
      <c r="B18" s="4" t="s">
        <v>90</v>
      </c>
      <c r="C18" s="4" t="s">
        <v>95</v>
      </c>
      <c r="D18" s="4" t="s">
        <v>189</v>
      </c>
      <c r="E18" s="4" t="s">
        <v>327</v>
      </c>
      <c r="F18" s="14">
        <v>553.1</v>
      </c>
      <c r="G18" s="76"/>
      <c r="H18" s="14">
        <f>F18*AE18</f>
        <v>0</v>
      </c>
      <c r="I18" s="14">
        <f>J18-H18</f>
        <v>0</v>
      </c>
      <c r="J18" s="14">
        <f>F18*G18</f>
        <v>0</v>
      </c>
      <c r="K18" s="14">
        <v>0.66</v>
      </c>
      <c r="L18" s="14">
        <f>F18*K18</f>
        <v>365.04600000000005</v>
      </c>
      <c r="M18" s="22" t="s">
        <v>353</v>
      </c>
      <c r="P18" s="26">
        <f>IF(AG18="5",J18,0)</f>
        <v>0</v>
      </c>
      <c r="R18" s="26">
        <f>IF(AG18="1",H18,0)</f>
        <v>0</v>
      </c>
      <c r="S18" s="26">
        <f>IF(AG18="1",I18,0)</f>
        <v>0</v>
      </c>
      <c r="T18" s="26">
        <f>IF(AG18="7",H18,0)</f>
        <v>0</v>
      </c>
      <c r="U18" s="26">
        <f>IF(AG18="7",I18,0)</f>
        <v>0</v>
      </c>
      <c r="V18" s="26">
        <f>IF(AG18="2",H18,0)</f>
        <v>0</v>
      </c>
      <c r="W18" s="26">
        <f>IF(AG18="2",I18,0)</f>
        <v>0</v>
      </c>
      <c r="X18" s="26">
        <f>IF(AG18="0",J18,0)</f>
        <v>0</v>
      </c>
      <c r="Y18" s="19" t="s">
        <v>90</v>
      </c>
      <c r="Z18" s="14">
        <f>IF(AD18=0,J18,0)</f>
        <v>0</v>
      </c>
      <c r="AA18" s="14">
        <f>IF(AD18=15,J18,0)</f>
        <v>0</v>
      </c>
      <c r="AB18" s="14">
        <f>IF(AD18=21,J18,0)</f>
        <v>0</v>
      </c>
      <c r="AD18" s="26">
        <v>21</v>
      </c>
      <c r="AE18" s="26">
        <f>G18*0</f>
        <v>0</v>
      </c>
      <c r="AF18" s="26">
        <f>G18*(1-0)</f>
        <v>0</v>
      </c>
      <c r="AG18" s="22" t="s">
        <v>7</v>
      </c>
      <c r="AM18" s="26">
        <f>F18*AE18</f>
        <v>0</v>
      </c>
      <c r="AN18" s="26">
        <f>F18*AF18</f>
        <v>0</v>
      </c>
      <c r="AO18" s="27" t="s">
        <v>364</v>
      </c>
      <c r="AP18" s="27" t="s">
        <v>388</v>
      </c>
      <c r="AQ18" s="19" t="s">
        <v>395</v>
      </c>
      <c r="AS18" s="26">
        <f>AM18+AN18</f>
        <v>0</v>
      </c>
      <c r="AT18" s="26">
        <f>G18/(100-AU18)*100</f>
        <v>0</v>
      </c>
      <c r="AU18" s="26">
        <v>0</v>
      </c>
      <c r="AV18" s="26">
        <f>L18</f>
        <v>365.04600000000005</v>
      </c>
    </row>
    <row r="19" spans="1:48" ht="12.75">
      <c r="A19" s="4" t="s">
        <v>11</v>
      </c>
      <c r="B19" s="4" t="s">
        <v>90</v>
      </c>
      <c r="C19" s="4" t="s">
        <v>96</v>
      </c>
      <c r="D19" s="4" t="s">
        <v>190</v>
      </c>
      <c r="E19" s="4" t="s">
        <v>327</v>
      </c>
      <c r="F19" s="14">
        <v>553.1</v>
      </c>
      <c r="G19" s="76"/>
      <c r="H19" s="14">
        <f>F19*AE19</f>
        <v>0</v>
      </c>
      <c r="I19" s="14">
        <f>J19-H19</f>
        <v>0</v>
      </c>
      <c r="J19" s="14">
        <f>F19*G19</f>
        <v>0</v>
      </c>
      <c r="K19" s="14">
        <v>0.22</v>
      </c>
      <c r="L19" s="14">
        <f>F19*K19</f>
        <v>121.682</v>
      </c>
      <c r="M19" s="22" t="s">
        <v>353</v>
      </c>
      <c r="P19" s="26">
        <f>IF(AG19="5",J19,0)</f>
        <v>0</v>
      </c>
      <c r="R19" s="26">
        <f>IF(AG19="1",H19,0)</f>
        <v>0</v>
      </c>
      <c r="S19" s="26">
        <f>IF(AG19="1",I19,0)</f>
        <v>0</v>
      </c>
      <c r="T19" s="26">
        <f>IF(AG19="7",H19,0)</f>
        <v>0</v>
      </c>
      <c r="U19" s="26">
        <f>IF(AG19="7",I19,0)</f>
        <v>0</v>
      </c>
      <c r="V19" s="26">
        <f>IF(AG19="2",H19,0)</f>
        <v>0</v>
      </c>
      <c r="W19" s="26">
        <f>IF(AG19="2",I19,0)</f>
        <v>0</v>
      </c>
      <c r="X19" s="26">
        <f>IF(AG19="0",J19,0)</f>
        <v>0</v>
      </c>
      <c r="Y19" s="19" t="s">
        <v>90</v>
      </c>
      <c r="Z19" s="14">
        <f>IF(AD19=0,J19,0)</f>
        <v>0</v>
      </c>
      <c r="AA19" s="14">
        <f>IF(AD19=15,J19,0)</f>
        <v>0</v>
      </c>
      <c r="AB19" s="14">
        <f>IF(AD19=21,J19,0)</f>
        <v>0</v>
      </c>
      <c r="AD19" s="26">
        <v>21</v>
      </c>
      <c r="AE19" s="26">
        <f>G19*0</f>
        <v>0</v>
      </c>
      <c r="AF19" s="26">
        <f>G19*(1-0)</f>
        <v>0</v>
      </c>
      <c r="AG19" s="22" t="s">
        <v>7</v>
      </c>
      <c r="AM19" s="26">
        <f>F19*AE19</f>
        <v>0</v>
      </c>
      <c r="AN19" s="26">
        <f>F19*AF19</f>
        <v>0</v>
      </c>
      <c r="AO19" s="27" t="s">
        <v>364</v>
      </c>
      <c r="AP19" s="27" t="s">
        <v>388</v>
      </c>
      <c r="AQ19" s="19" t="s">
        <v>395</v>
      </c>
      <c r="AS19" s="26">
        <f>AM19+AN19</f>
        <v>0</v>
      </c>
      <c r="AT19" s="26">
        <f>G19/(100-AU19)*100</f>
        <v>0</v>
      </c>
      <c r="AU19" s="26">
        <v>0</v>
      </c>
      <c r="AV19" s="26">
        <f>L19</f>
        <v>121.682</v>
      </c>
    </row>
    <row r="20" spans="4:6" ht="12.75">
      <c r="D20" s="11" t="s">
        <v>191</v>
      </c>
      <c r="F20" s="15">
        <v>553.1</v>
      </c>
    </row>
    <row r="21" spans="1:48" ht="12.75">
      <c r="A21" s="4" t="s">
        <v>12</v>
      </c>
      <c r="B21" s="4" t="s">
        <v>90</v>
      </c>
      <c r="C21" s="4" t="s">
        <v>97</v>
      </c>
      <c r="D21" s="4" t="s">
        <v>192</v>
      </c>
      <c r="E21" s="4" t="s">
        <v>328</v>
      </c>
      <c r="F21" s="14">
        <v>8</v>
      </c>
      <c r="G21" s="76"/>
      <c r="H21" s="14">
        <f>F21*AE21</f>
        <v>0</v>
      </c>
      <c r="I21" s="14">
        <f>J21-H21</f>
        <v>0</v>
      </c>
      <c r="J21" s="14">
        <f>F21*G21</f>
        <v>0</v>
      </c>
      <c r="K21" s="14">
        <v>0.145</v>
      </c>
      <c r="L21" s="14">
        <f>F21*K21</f>
        <v>1.16</v>
      </c>
      <c r="M21" s="22" t="s">
        <v>353</v>
      </c>
      <c r="P21" s="26">
        <f>IF(AG21="5",J21,0)</f>
        <v>0</v>
      </c>
      <c r="R21" s="26">
        <f>IF(AG21="1",H21,0)</f>
        <v>0</v>
      </c>
      <c r="S21" s="26">
        <f>IF(AG21="1",I21,0)</f>
        <v>0</v>
      </c>
      <c r="T21" s="26">
        <f>IF(AG21="7",H21,0)</f>
        <v>0</v>
      </c>
      <c r="U21" s="26">
        <f>IF(AG21="7",I21,0)</f>
        <v>0</v>
      </c>
      <c r="V21" s="26">
        <f>IF(AG21="2",H21,0)</f>
        <v>0</v>
      </c>
      <c r="W21" s="26">
        <f>IF(AG21="2",I21,0)</f>
        <v>0</v>
      </c>
      <c r="X21" s="26">
        <f>IF(AG21="0",J21,0)</f>
        <v>0</v>
      </c>
      <c r="Y21" s="19" t="s">
        <v>90</v>
      </c>
      <c r="Z21" s="14">
        <f>IF(AD21=0,J21,0)</f>
        <v>0</v>
      </c>
      <c r="AA21" s="14">
        <f>IF(AD21=15,J21,0)</f>
        <v>0</v>
      </c>
      <c r="AB21" s="14">
        <f>IF(AD21=21,J21,0)</f>
        <v>0</v>
      </c>
      <c r="AD21" s="26">
        <v>21</v>
      </c>
      <c r="AE21" s="26">
        <f>G21*0</f>
        <v>0</v>
      </c>
      <c r="AF21" s="26">
        <f>G21*(1-0)</f>
        <v>0</v>
      </c>
      <c r="AG21" s="22" t="s">
        <v>7</v>
      </c>
      <c r="AM21" s="26">
        <f>F21*AE21</f>
        <v>0</v>
      </c>
      <c r="AN21" s="26">
        <f>F21*AF21</f>
        <v>0</v>
      </c>
      <c r="AO21" s="27" t="s">
        <v>364</v>
      </c>
      <c r="AP21" s="27" t="s">
        <v>388</v>
      </c>
      <c r="AQ21" s="19" t="s">
        <v>395</v>
      </c>
      <c r="AS21" s="26">
        <f>AM21+AN21</f>
        <v>0</v>
      </c>
      <c r="AT21" s="26">
        <f>G21/(100-AU21)*100</f>
        <v>0</v>
      </c>
      <c r="AU21" s="26">
        <v>0</v>
      </c>
      <c r="AV21" s="26">
        <f>L21</f>
        <v>1.16</v>
      </c>
    </row>
    <row r="22" spans="1:48" ht="12.75">
      <c r="A22" s="4" t="s">
        <v>13</v>
      </c>
      <c r="B22" s="4" t="s">
        <v>90</v>
      </c>
      <c r="C22" s="4" t="s">
        <v>98</v>
      </c>
      <c r="D22" s="4" t="s">
        <v>193</v>
      </c>
      <c r="E22" s="4" t="s">
        <v>328</v>
      </c>
      <c r="F22" s="14">
        <v>45</v>
      </c>
      <c r="G22" s="76"/>
      <c r="H22" s="14">
        <f>F22*AE22</f>
        <v>0</v>
      </c>
      <c r="I22" s="14">
        <f>J22-H22</f>
        <v>0</v>
      </c>
      <c r="J22" s="14">
        <f>F22*G22</f>
        <v>0</v>
      </c>
      <c r="K22" s="14">
        <v>0.115</v>
      </c>
      <c r="L22" s="14">
        <f>F22*K22</f>
        <v>5.175</v>
      </c>
      <c r="M22" s="22" t="s">
        <v>353</v>
      </c>
      <c r="P22" s="26">
        <f>IF(AG22="5",J22,0)</f>
        <v>0</v>
      </c>
      <c r="R22" s="26">
        <f>IF(AG22="1",H22,0)</f>
        <v>0</v>
      </c>
      <c r="S22" s="26">
        <f>IF(AG22="1",I22,0)</f>
        <v>0</v>
      </c>
      <c r="T22" s="26">
        <f>IF(AG22="7",H22,0)</f>
        <v>0</v>
      </c>
      <c r="U22" s="26">
        <f>IF(AG22="7",I22,0)</f>
        <v>0</v>
      </c>
      <c r="V22" s="26">
        <f>IF(AG22="2",H22,0)</f>
        <v>0</v>
      </c>
      <c r="W22" s="26">
        <f>IF(AG22="2",I22,0)</f>
        <v>0</v>
      </c>
      <c r="X22" s="26">
        <f>IF(AG22="0",J22,0)</f>
        <v>0</v>
      </c>
      <c r="Y22" s="19" t="s">
        <v>90</v>
      </c>
      <c r="Z22" s="14">
        <f>IF(AD22=0,J22,0)</f>
        <v>0</v>
      </c>
      <c r="AA22" s="14">
        <f>IF(AD22=15,J22,0)</f>
        <v>0</v>
      </c>
      <c r="AB22" s="14">
        <f>IF(AD22=21,J22,0)</f>
        <v>0</v>
      </c>
      <c r="AD22" s="26">
        <v>21</v>
      </c>
      <c r="AE22" s="26">
        <f>G22*0</f>
        <v>0</v>
      </c>
      <c r="AF22" s="26">
        <f>G22*(1-0)</f>
        <v>0</v>
      </c>
      <c r="AG22" s="22" t="s">
        <v>7</v>
      </c>
      <c r="AM22" s="26">
        <f>F22*AE22</f>
        <v>0</v>
      </c>
      <c r="AN22" s="26">
        <f>F22*AF22</f>
        <v>0</v>
      </c>
      <c r="AO22" s="27" t="s">
        <v>364</v>
      </c>
      <c r="AP22" s="27" t="s">
        <v>388</v>
      </c>
      <c r="AQ22" s="19" t="s">
        <v>395</v>
      </c>
      <c r="AS22" s="26">
        <f>AM22+AN22</f>
        <v>0</v>
      </c>
      <c r="AT22" s="26">
        <f>G22/(100-AU22)*100</f>
        <v>0</v>
      </c>
      <c r="AU22" s="26">
        <v>0</v>
      </c>
      <c r="AV22" s="26">
        <f>L22</f>
        <v>5.175</v>
      </c>
    </row>
    <row r="23" spans="1:48" ht="12.75">
      <c r="A23" s="4" t="s">
        <v>14</v>
      </c>
      <c r="B23" s="4" t="s">
        <v>90</v>
      </c>
      <c r="C23" s="4" t="s">
        <v>99</v>
      </c>
      <c r="D23" s="4" t="s">
        <v>194</v>
      </c>
      <c r="E23" s="4" t="s">
        <v>327</v>
      </c>
      <c r="F23" s="14">
        <v>90</v>
      </c>
      <c r="G23" s="76"/>
      <c r="H23" s="14">
        <f>F23*AE23</f>
        <v>0</v>
      </c>
      <c r="I23" s="14">
        <f>J23-H23</f>
        <v>0</v>
      </c>
      <c r="J23" s="14">
        <f>F23*G23</f>
        <v>0</v>
      </c>
      <c r="K23" s="14">
        <v>0.33</v>
      </c>
      <c r="L23" s="14">
        <f>F23*K23</f>
        <v>29.700000000000003</v>
      </c>
      <c r="M23" s="22" t="s">
        <v>353</v>
      </c>
      <c r="P23" s="26">
        <f>IF(AG23="5",J23,0)</f>
        <v>0</v>
      </c>
      <c r="R23" s="26">
        <f>IF(AG23="1",H23,0)</f>
        <v>0</v>
      </c>
      <c r="S23" s="26">
        <f>IF(AG23="1",I23,0)</f>
        <v>0</v>
      </c>
      <c r="T23" s="26">
        <f>IF(AG23="7",H23,0)</f>
        <v>0</v>
      </c>
      <c r="U23" s="26">
        <f>IF(AG23="7",I23,0)</f>
        <v>0</v>
      </c>
      <c r="V23" s="26">
        <f>IF(AG23="2",H23,0)</f>
        <v>0</v>
      </c>
      <c r="W23" s="26">
        <f>IF(AG23="2",I23,0)</f>
        <v>0</v>
      </c>
      <c r="X23" s="26">
        <f>IF(AG23="0",J23,0)</f>
        <v>0</v>
      </c>
      <c r="Y23" s="19" t="s">
        <v>90</v>
      </c>
      <c r="Z23" s="14">
        <f>IF(AD23=0,J23,0)</f>
        <v>0</v>
      </c>
      <c r="AA23" s="14">
        <f>IF(AD23=15,J23,0)</f>
        <v>0</v>
      </c>
      <c r="AB23" s="14">
        <f>IF(AD23=21,J23,0)</f>
        <v>0</v>
      </c>
      <c r="AD23" s="26">
        <v>21</v>
      </c>
      <c r="AE23" s="26">
        <f>G23*0</f>
        <v>0</v>
      </c>
      <c r="AF23" s="26">
        <f>G23*(1-0)</f>
        <v>0</v>
      </c>
      <c r="AG23" s="22" t="s">
        <v>7</v>
      </c>
      <c r="AM23" s="26">
        <f>F23*AE23</f>
        <v>0</v>
      </c>
      <c r="AN23" s="26">
        <f>F23*AF23</f>
        <v>0</v>
      </c>
      <c r="AO23" s="27" t="s">
        <v>364</v>
      </c>
      <c r="AP23" s="27" t="s">
        <v>388</v>
      </c>
      <c r="AQ23" s="19" t="s">
        <v>395</v>
      </c>
      <c r="AS23" s="26">
        <f>AM23+AN23</f>
        <v>0</v>
      </c>
      <c r="AT23" s="26">
        <f>G23/(100-AU23)*100</f>
        <v>0</v>
      </c>
      <c r="AU23" s="26">
        <v>0</v>
      </c>
      <c r="AV23" s="26">
        <f>L23</f>
        <v>29.700000000000003</v>
      </c>
    </row>
    <row r="24" spans="4:6" ht="12.75">
      <c r="D24" s="11" t="s">
        <v>195</v>
      </c>
      <c r="F24" s="15">
        <v>90</v>
      </c>
    </row>
    <row r="25" spans="1:48" ht="12.75">
      <c r="A25" s="4" t="s">
        <v>15</v>
      </c>
      <c r="B25" s="4" t="s">
        <v>90</v>
      </c>
      <c r="C25" s="4" t="s">
        <v>100</v>
      </c>
      <c r="D25" s="4" t="s">
        <v>196</v>
      </c>
      <c r="E25" s="4" t="s">
        <v>327</v>
      </c>
      <c r="F25" s="14">
        <v>76</v>
      </c>
      <c r="G25" s="76"/>
      <c r="H25" s="14">
        <f>F25*AE25</f>
        <v>0</v>
      </c>
      <c r="I25" s="14">
        <f>J25-H25</f>
        <v>0</v>
      </c>
      <c r="J25" s="14">
        <f>F25*G25</f>
        <v>0</v>
      </c>
      <c r="K25" s="14">
        <v>0.138</v>
      </c>
      <c r="L25" s="14">
        <f>F25*K25</f>
        <v>10.488000000000001</v>
      </c>
      <c r="M25" s="22" t="s">
        <v>353</v>
      </c>
      <c r="P25" s="26">
        <f>IF(AG25="5",J25,0)</f>
        <v>0</v>
      </c>
      <c r="R25" s="26">
        <f>IF(AG25="1",H25,0)</f>
        <v>0</v>
      </c>
      <c r="S25" s="26">
        <f>IF(AG25="1",I25,0)</f>
        <v>0</v>
      </c>
      <c r="T25" s="26">
        <f>IF(AG25="7",H25,0)</f>
        <v>0</v>
      </c>
      <c r="U25" s="26">
        <f>IF(AG25="7",I25,0)</f>
        <v>0</v>
      </c>
      <c r="V25" s="26">
        <f>IF(AG25="2",H25,0)</f>
        <v>0</v>
      </c>
      <c r="W25" s="26">
        <f>IF(AG25="2",I25,0)</f>
        <v>0</v>
      </c>
      <c r="X25" s="26">
        <f>IF(AG25="0",J25,0)</f>
        <v>0</v>
      </c>
      <c r="Y25" s="19" t="s">
        <v>90</v>
      </c>
      <c r="Z25" s="14">
        <f>IF(AD25=0,J25,0)</f>
        <v>0</v>
      </c>
      <c r="AA25" s="14">
        <f>IF(AD25=15,J25,0)</f>
        <v>0</v>
      </c>
      <c r="AB25" s="14">
        <f>IF(AD25=21,J25,0)</f>
        <v>0</v>
      </c>
      <c r="AD25" s="26">
        <v>21</v>
      </c>
      <c r="AE25" s="26">
        <f>G25*0</f>
        <v>0</v>
      </c>
      <c r="AF25" s="26">
        <f>G25*(1-0)</f>
        <v>0</v>
      </c>
      <c r="AG25" s="22" t="s">
        <v>7</v>
      </c>
      <c r="AM25" s="26">
        <f>F25*AE25</f>
        <v>0</v>
      </c>
      <c r="AN25" s="26">
        <f>F25*AF25</f>
        <v>0</v>
      </c>
      <c r="AO25" s="27" t="s">
        <v>364</v>
      </c>
      <c r="AP25" s="27" t="s">
        <v>388</v>
      </c>
      <c r="AQ25" s="19" t="s">
        <v>395</v>
      </c>
      <c r="AS25" s="26">
        <f>AM25+AN25</f>
        <v>0</v>
      </c>
      <c r="AT25" s="26">
        <f>G25/(100-AU25)*100</f>
        <v>0</v>
      </c>
      <c r="AU25" s="26">
        <v>0</v>
      </c>
      <c r="AV25" s="26">
        <f>L25</f>
        <v>10.488000000000001</v>
      </c>
    </row>
    <row r="26" spans="4:6" ht="12.75">
      <c r="D26" s="11" t="s">
        <v>197</v>
      </c>
      <c r="F26" s="15">
        <v>76</v>
      </c>
    </row>
    <row r="27" spans="1:37" ht="12.75">
      <c r="A27" s="67"/>
      <c r="B27" s="68" t="s">
        <v>90</v>
      </c>
      <c r="C27" s="68" t="s">
        <v>18</v>
      </c>
      <c r="D27" s="68" t="s">
        <v>198</v>
      </c>
      <c r="E27" s="67" t="s">
        <v>6</v>
      </c>
      <c r="F27" s="67" t="s">
        <v>6</v>
      </c>
      <c r="G27" s="67" t="s">
        <v>6</v>
      </c>
      <c r="H27" s="69">
        <f>SUM(H28:H31)</f>
        <v>0</v>
      </c>
      <c r="I27" s="69">
        <f>SUM(I28:I31)</f>
        <v>0</v>
      </c>
      <c r="J27" s="69">
        <f>H27+I27</f>
        <v>0</v>
      </c>
      <c r="K27" s="70"/>
      <c r="L27" s="69">
        <f>SUM(L28:L31)</f>
        <v>0</v>
      </c>
      <c r="M27" s="70"/>
      <c r="Y27" s="19" t="s">
        <v>90</v>
      </c>
      <c r="AI27" s="28">
        <f>SUM(Z28:Z31)</f>
        <v>0</v>
      </c>
      <c r="AJ27" s="28">
        <f>SUM(AA28:AA31)</f>
        <v>0</v>
      </c>
      <c r="AK27" s="28">
        <f>SUM(AB28:AB31)</f>
        <v>0</v>
      </c>
    </row>
    <row r="28" spans="1:48" ht="12.75">
      <c r="A28" s="12" t="s">
        <v>16</v>
      </c>
      <c r="B28" s="12" t="s">
        <v>90</v>
      </c>
      <c r="C28" s="12" t="s">
        <v>101</v>
      </c>
      <c r="D28" s="12" t="s">
        <v>199</v>
      </c>
      <c r="E28" s="12" t="s">
        <v>329</v>
      </c>
      <c r="F28" s="26">
        <v>222.02</v>
      </c>
      <c r="G28" s="75"/>
      <c r="H28" s="26">
        <f>F28*AE28</f>
        <v>0</v>
      </c>
      <c r="I28" s="26">
        <f>J28-H28</f>
        <v>0</v>
      </c>
      <c r="J28" s="26">
        <f>F28*G28</f>
        <v>0</v>
      </c>
      <c r="K28" s="26">
        <v>0</v>
      </c>
      <c r="L28" s="26">
        <f>F28*K28</f>
        <v>0</v>
      </c>
      <c r="M28" s="27" t="s">
        <v>353</v>
      </c>
      <c r="P28" s="26">
        <f>IF(AG28="5",J28,0)</f>
        <v>0</v>
      </c>
      <c r="R28" s="26">
        <f>IF(AG28="1",H28,0)</f>
        <v>0</v>
      </c>
      <c r="S28" s="26">
        <f>IF(AG28="1",I28,0)</f>
        <v>0</v>
      </c>
      <c r="T28" s="26">
        <f>IF(AG28="7",H28,0)</f>
        <v>0</v>
      </c>
      <c r="U28" s="26">
        <f>IF(AG28="7",I28,0)</f>
        <v>0</v>
      </c>
      <c r="V28" s="26">
        <f>IF(AG28="2",H28,0)</f>
        <v>0</v>
      </c>
      <c r="W28" s="26">
        <f>IF(AG28="2",I28,0)</f>
        <v>0</v>
      </c>
      <c r="X28" s="26">
        <f>IF(AG28="0",J28,0)</f>
        <v>0</v>
      </c>
      <c r="Y28" s="19" t="s">
        <v>90</v>
      </c>
      <c r="Z28" s="14">
        <f>IF(AD28=0,J28,0)</f>
        <v>0</v>
      </c>
      <c r="AA28" s="14">
        <f>IF(AD28=15,J28,0)</f>
        <v>0</v>
      </c>
      <c r="AB28" s="14">
        <f>IF(AD28=21,J28,0)</f>
        <v>0</v>
      </c>
      <c r="AD28" s="26">
        <v>21</v>
      </c>
      <c r="AE28" s="26">
        <f>G28*0</f>
        <v>0</v>
      </c>
      <c r="AF28" s="26">
        <f>G28*(1-0)</f>
        <v>0</v>
      </c>
      <c r="AG28" s="22" t="s">
        <v>7</v>
      </c>
      <c r="AM28" s="26">
        <f>F28*AE28</f>
        <v>0</v>
      </c>
      <c r="AN28" s="26">
        <f>F28*AF28</f>
        <v>0</v>
      </c>
      <c r="AO28" s="27" t="s">
        <v>365</v>
      </c>
      <c r="AP28" s="27" t="s">
        <v>388</v>
      </c>
      <c r="AQ28" s="19" t="s">
        <v>395</v>
      </c>
      <c r="AS28" s="26">
        <f>AM28+AN28</f>
        <v>0</v>
      </c>
      <c r="AT28" s="26">
        <f>G28/(100-AU28)*100</f>
        <v>0</v>
      </c>
      <c r="AU28" s="26">
        <v>0</v>
      </c>
      <c r="AV28" s="26">
        <f>L28</f>
        <v>0</v>
      </c>
    </row>
    <row r="29" spans="1:13" ht="12.75">
      <c r="A29" s="71"/>
      <c r="B29" s="71"/>
      <c r="C29" s="71"/>
      <c r="D29" s="72" t="s">
        <v>200</v>
      </c>
      <c r="E29" s="71"/>
      <c r="F29" s="73">
        <v>44</v>
      </c>
      <c r="G29" s="71"/>
      <c r="H29" s="71"/>
      <c r="I29" s="71"/>
      <c r="J29" s="71"/>
      <c r="K29" s="71"/>
      <c r="L29" s="71"/>
      <c r="M29" s="71"/>
    </row>
    <row r="30" spans="1:13" ht="12.75">
      <c r="A30" s="71"/>
      <c r="B30" s="71"/>
      <c r="C30" s="71"/>
      <c r="D30" s="72" t="s">
        <v>201</v>
      </c>
      <c r="E30" s="71"/>
      <c r="F30" s="73">
        <v>178.02</v>
      </c>
      <c r="G30" s="71"/>
      <c r="H30" s="71"/>
      <c r="I30" s="71"/>
      <c r="J30" s="71"/>
      <c r="K30" s="71"/>
      <c r="L30" s="71"/>
      <c r="M30" s="71"/>
    </row>
    <row r="31" spans="1:48" ht="12.75">
      <c r="A31" s="12" t="s">
        <v>17</v>
      </c>
      <c r="B31" s="12" t="s">
        <v>90</v>
      </c>
      <c r="C31" s="12" t="s">
        <v>102</v>
      </c>
      <c r="D31" s="12" t="s">
        <v>202</v>
      </c>
      <c r="E31" s="12" t="s">
        <v>329</v>
      </c>
      <c r="F31" s="26">
        <v>222.02</v>
      </c>
      <c r="G31" s="75"/>
      <c r="H31" s="26">
        <f>F31*AE31</f>
        <v>0</v>
      </c>
      <c r="I31" s="26">
        <f>J31-H31</f>
        <v>0</v>
      </c>
      <c r="J31" s="26">
        <f>F31*G31</f>
        <v>0</v>
      </c>
      <c r="K31" s="26">
        <v>0</v>
      </c>
      <c r="L31" s="26">
        <f>F31*K31</f>
        <v>0</v>
      </c>
      <c r="M31" s="27" t="s">
        <v>353</v>
      </c>
      <c r="P31" s="26">
        <f>IF(AG31="5",J31,0)</f>
        <v>0</v>
      </c>
      <c r="R31" s="26">
        <f>IF(AG31="1",H31,0)</f>
        <v>0</v>
      </c>
      <c r="S31" s="26">
        <f>IF(AG31="1",I31,0)</f>
        <v>0</v>
      </c>
      <c r="T31" s="26">
        <f>IF(AG31="7",H31,0)</f>
        <v>0</v>
      </c>
      <c r="U31" s="26">
        <f>IF(AG31="7",I31,0)</f>
        <v>0</v>
      </c>
      <c r="V31" s="26">
        <f>IF(AG31="2",H31,0)</f>
        <v>0</v>
      </c>
      <c r="W31" s="26">
        <f>IF(AG31="2",I31,0)</f>
        <v>0</v>
      </c>
      <c r="X31" s="26">
        <f>IF(AG31="0",J31,0)</f>
        <v>0</v>
      </c>
      <c r="Y31" s="19" t="s">
        <v>90</v>
      </c>
      <c r="Z31" s="14">
        <f>IF(AD31=0,J31,0)</f>
        <v>0</v>
      </c>
      <c r="AA31" s="14">
        <f>IF(AD31=15,J31,0)</f>
        <v>0</v>
      </c>
      <c r="AB31" s="14">
        <f>IF(AD31=21,J31,0)</f>
        <v>0</v>
      </c>
      <c r="AD31" s="26">
        <v>21</v>
      </c>
      <c r="AE31" s="26">
        <f>G31*0</f>
        <v>0</v>
      </c>
      <c r="AF31" s="26">
        <f>G31*(1-0)</f>
        <v>0</v>
      </c>
      <c r="AG31" s="22" t="s">
        <v>7</v>
      </c>
      <c r="AM31" s="26">
        <f>F31*AE31</f>
        <v>0</v>
      </c>
      <c r="AN31" s="26">
        <f>F31*AF31</f>
        <v>0</v>
      </c>
      <c r="AO31" s="27" t="s">
        <v>365</v>
      </c>
      <c r="AP31" s="27" t="s">
        <v>388</v>
      </c>
      <c r="AQ31" s="19" t="s">
        <v>395</v>
      </c>
      <c r="AS31" s="26">
        <f>AM31+AN31</f>
        <v>0</v>
      </c>
      <c r="AT31" s="26">
        <f>G31/(100-AU31)*100</f>
        <v>0</v>
      </c>
      <c r="AU31" s="26">
        <v>0</v>
      </c>
      <c r="AV31" s="26">
        <f>L31</f>
        <v>0</v>
      </c>
    </row>
    <row r="32" spans="1:37" ht="12.75">
      <c r="A32" s="67"/>
      <c r="B32" s="68" t="s">
        <v>90</v>
      </c>
      <c r="C32" s="68" t="s">
        <v>19</v>
      </c>
      <c r="D32" s="68" t="s">
        <v>203</v>
      </c>
      <c r="E32" s="67" t="s">
        <v>6</v>
      </c>
      <c r="F32" s="67" t="s">
        <v>6</v>
      </c>
      <c r="G32" s="67" t="s">
        <v>6</v>
      </c>
      <c r="H32" s="69">
        <f>SUM(H33:H35)</f>
        <v>0</v>
      </c>
      <c r="I32" s="69">
        <f>SUM(I33:I35)</f>
        <v>0</v>
      </c>
      <c r="J32" s="69">
        <f>H32+I32</f>
        <v>0</v>
      </c>
      <c r="K32" s="70"/>
      <c r="L32" s="69">
        <f>SUM(L33:L35)</f>
        <v>0</v>
      </c>
      <c r="M32" s="70"/>
      <c r="Y32" s="19" t="s">
        <v>90</v>
      </c>
      <c r="AI32" s="28">
        <f>SUM(Z33:Z35)</f>
        <v>0</v>
      </c>
      <c r="AJ32" s="28">
        <f>SUM(AA33:AA35)</f>
        <v>0</v>
      </c>
      <c r="AK32" s="28">
        <f>SUM(AB33:AB35)</f>
        <v>0</v>
      </c>
    </row>
    <row r="33" spans="1:48" ht="12.75">
      <c r="A33" s="12" t="s">
        <v>18</v>
      </c>
      <c r="B33" s="12" t="s">
        <v>90</v>
      </c>
      <c r="C33" s="12" t="s">
        <v>103</v>
      </c>
      <c r="D33" s="12" t="s">
        <v>204</v>
      </c>
      <c r="E33" s="12" t="s">
        <v>329</v>
      </c>
      <c r="F33" s="26">
        <v>14.2</v>
      </c>
      <c r="G33" s="75"/>
      <c r="H33" s="26">
        <f>F33*AE33</f>
        <v>0</v>
      </c>
      <c r="I33" s="26">
        <f>J33-H33</f>
        <v>0</v>
      </c>
      <c r="J33" s="26">
        <f>F33*G33</f>
        <v>0</v>
      </c>
      <c r="K33" s="26">
        <v>0</v>
      </c>
      <c r="L33" s="26">
        <f>F33*K33</f>
        <v>0</v>
      </c>
      <c r="M33" s="27" t="s">
        <v>353</v>
      </c>
      <c r="P33" s="26">
        <f>IF(AG33="5",J33,0)</f>
        <v>0</v>
      </c>
      <c r="R33" s="26">
        <f>IF(AG33="1",H33,0)</f>
        <v>0</v>
      </c>
      <c r="S33" s="26">
        <f>IF(AG33="1",I33,0)</f>
        <v>0</v>
      </c>
      <c r="T33" s="26">
        <f>IF(AG33="7",H33,0)</f>
        <v>0</v>
      </c>
      <c r="U33" s="26">
        <f>IF(AG33="7",I33,0)</f>
        <v>0</v>
      </c>
      <c r="V33" s="26">
        <f>IF(AG33="2",H33,0)</f>
        <v>0</v>
      </c>
      <c r="W33" s="26">
        <f>IF(AG33="2",I33,0)</f>
        <v>0</v>
      </c>
      <c r="X33" s="26">
        <f>IF(AG33="0",J33,0)</f>
        <v>0</v>
      </c>
      <c r="Y33" s="19" t="s">
        <v>90</v>
      </c>
      <c r="Z33" s="14">
        <f>IF(AD33=0,J33,0)</f>
        <v>0</v>
      </c>
      <c r="AA33" s="14">
        <f>IF(AD33=15,J33,0)</f>
        <v>0</v>
      </c>
      <c r="AB33" s="14">
        <f>IF(AD33=21,J33,0)</f>
        <v>0</v>
      </c>
      <c r="AD33" s="26">
        <v>21</v>
      </c>
      <c r="AE33" s="26">
        <f>G33*0</f>
        <v>0</v>
      </c>
      <c r="AF33" s="26">
        <f>G33*(1-0)</f>
        <v>0</v>
      </c>
      <c r="AG33" s="22" t="s">
        <v>7</v>
      </c>
      <c r="AM33" s="26">
        <f>F33*AE33</f>
        <v>0</v>
      </c>
      <c r="AN33" s="26">
        <f>F33*AF33</f>
        <v>0</v>
      </c>
      <c r="AO33" s="27" t="s">
        <v>366</v>
      </c>
      <c r="AP33" s="27" t="s">
        <v>388</v>
      </c>
      <c r="AQ33" s="19" t="s">
        <v>395</v>
      </c>
      <c r="AS33" s="26">
        <f>AM33+AN33</f>
        <v>0</v>
      </c>
      <c r="AT33" s="26">
        <f>G33/(100-AU33)*100</f>
        <v>0</v>
      </c>
      <c r="AU33" s="26">
        <v>0</v>
      </c>
      <c r="AV33" s="26">
        <f>L33</f>
        <v>0</v>
      </c>
    </row>
    <row r="34" spans="1:13" ht="12.75">
      <c r="A34" s="71"/>
      <c r="B34" s="71"/>
      <c r="C34" s="71"/>
      <c r="D34" s="72" t="s">
        <v>205</v>
      </c>
      <c r="E34" s="71"/>
      <c r="F34" s="73">
        <v>14.2</v>
      </c>
      <c r="G34" s="71"/>
      <c r="H34" s="71"/>
      <c r="I34" s="71"/>
      <c r="J34" s="71"/>
      <c r="K34" s="71"/>
      <c r="L34" s="71"/>
      <c r="M34" s="71"/>
    </row>
    <row r="35" spans="1:48" ht="12.75">
      <c r="A35" s="12" t="s">
        <v>19</v>
      </c>
      <c r="B35" s="12" t="s">
        <v>90</v>
      </c>
      <c r="C35" s="12" t="s">
        <v>104</v>
      </c>
      <c r="D35" s="12" t="s">
        <v>206</v>
      </c>
      <c r="E35" s="12" t="s">
        <v>329</v>
      </c>
      <c r="F35" s="26">
        <v>14.2</v>
      </c>
      <c r="G35" s="75"/>
      <c r="H35" s="26">
        <f>F35*AE35</f>
        <v>0</v>
      </c>
      <c r="I35" s="26">
        <f>J35-H35</f>
        <v>0</v>
      </c>
      <c r="J35" s="26">
        <f>F35*G35</f>
        <v>0</v>
      </c>
      <c r="K35" s="26">
        <v>0</v>
      </c>
      <c r="L35" s="26">
        <f>F35*K35</f>
        <v>0</v>
      </c>
      <c r="M35" s="27" t="s">
        <v>353</v>
      </c>
      <c r="P35" s="26">
        <f>IF(AG35="5",J35,0)</f>
        <v>0</v>
      </c>
      <c r="R35" s="26">
        <f>IF(AG35="1",H35,0)</f>
        <v>0</v>
      </c>
      <c r="S35" s="26">
        <f>IF(AG35="1",I35,0)</f>
        <v>0</v>
      </c>
      <c r="T35" s="26">
        <f>IF(AG35="7",H35,0)</f>
        <v>0</v>
      </c>
      <c r="U35" s="26">
        <f>IF(AG35="7",I35,0)</f>
        <v>0</v>
      </c>
      <c r="V35" s="26">
        <f>IF(AG35="2",H35,0)</f>
        <v>0</v>
      </c>
      <c r="W35" s="26">
        <f>IF(AG35="2",I35,0)</f>
        <v>0</v>
      </c>
      <c r="X35" s="26">
        <f>IF(AG35="0",J35,0)</f>
        <v>0</v>
      </c>
      <c r="Y35" s="19" t="s">
        <v>90</v>
      </c>
      <c r="Z35" s="14">
        <f>IF(AD35=0,J35,0)</f>
        <v>0</v>
      </c>
      <c r="AA35" s="14">
        <f>IF(AD35=15,J35,0)</f>
        <v>0</v>
      </c>
      <c r="AB35" s="14">
        <f>IF(AD35=21,J35,0)</f>
        <v>0</v>
      </c>
      <c r="AD35" s="26">
        <v>21</v>
      </c>
      <c r="AE35" s="26">
        <f>G35*0</f>
        <v>0</v>
      </c>
      <c r="AF35" s="26">
        <f>G35*(1-0)</f>
        <v>0</v>
      </c>
      <c r="AG35" s="22" t="s">
        <v>7</v>
      </c>
      <c r="AM35" s="26">
        <f>F35*AE35</f>
        <v>0</v>
      </c>
      <c r="AN35" s="26">
        <f>F35*AF35</f>
        <v>0</v>
      </c>
      <c r="AO35" s="27" t="s">
        <v>366</v>
      </c>
      <c r="AP35" s="27" t="s">
        <v>388</v>
      </c>
      <c r="AQ35" s="19" t="s">
        <v>395</v>
      </c>
      <c r="AS35" s="26">
        <f>AM35+AN35</f>
        <v>0</v>
      </c>
      <c r="AT35" s="26">
        <f>G35/(100-AU35)*100</f>
        <v>0</v>
      </c>
      <c r="AU35" s="26">
        <v>0</v>
      </c>
      <c r="AV35" s="26">
        <f>L35</f>
        <v>0</v>
      </c>
    </row>
    <row r="36" spans="1:13" ht="12.75">
      <c r="A36" s="71"/>
      <c r="B36" s="71"/>
      <c r="C36" s="71"/>
      <c r="D36" s="72" t="s">
        <v>207</v>
      </c>
      <c r="E36" s="71"/>
      <c r="F36" s="73">
        <v>14.2</v>
      </c>
      <c r="G36" s="71"/>
      <c r="H36" s="71"/>
      <c r="I36" s="71"/>
      <c r="J36" s="71"/>
      <c r="K36" s="71"/>
      <c r="L36" s="71"/>
      <c r="M36" s="71"/>
    </row>
    <row r="37" spans="1:37" ht="12.75">
      <c r="A37" s="67"/>
      <c r="B37" s="68" t="s">
        <v>90</v>
      </c>
      <c r="C37" s="68" t="s">
        <v>22</v>
      </c>
      <c r="D37" s="68" t="s">
        <v>208</v>
      </c>
      <c r="E37" s="67" t="s">
        <v>6</v>
      </c>
      <c r="F37" s="67" t="s">
        <v>6</v>
      </c>
      <c r="G37" s="67" t="s">
        <v>6</v>
      </c>
      <c r="H37" s="69">
        <f>SUM(H38:H40)</f>
        <v>0</v>
      </c>
      <c r="I37" s="69">
        <f>SUM(I38:I40)</f>
        <v>0</v>
      </c>
      <c r="J37" s="69">
        <f>H37+I37</f>
        <v>0</v>
      </c>
      <c r="K37" s="70"/>
      <c r="L37" s="69">
        <f>SUM(L38:L40)</f>
        <v>0</v>
      </c>
      <c r="M37" s="70"/>
      <c r="Y37" s="19" t="s">
        <v>90</v>
      </c>
      <c r="AI37" s="28">
        <f>SUM(Z38:Z40)</f>
        <v>0</v>
      </c>
      <c r="AJ37" s="28">
        <f>SUM(AA38:AA40)</f>
        <v>0</v>
      </c>
      <c r="AK37" s="28">
        <f>SUM(AB38:AB40)</f>
        <v>0</v>
      </c>
    </row>
    <row r="38" spans="1:48" ht="12.75">
      <c r="A38" s="12" t="s">
        <v>20</v>
      </c>
      <c r="B38" s="12" t="s">
        <v>90</v>
      </c>
      <c r="C38" s="12" t="s">
        <v>105</v>
      </c>
      <c r="D38" s="12" t="s">
        <v>209</v>
      </c>
      <c r="E38" s="12" t="s">
        <v>329</v>
      </c>
      <c r="F38" s="26">
        <v>236.22</v>
      </c>
      <c r="G38" s="75"/>
      <c r="H38" s="26">
        <f>F38*AE38</f>
        <v>0</v>
      </c>
      <c r="I38" s="26">
        <f>J38-H38</f>
        <v>0</v>
      </c>
      <c r="J38" s="26">
        <f>F38*G38</f>
        <v>0</v>
      </c>
      <c r="K38" s="26">
        <v>0</v>
      </c>
      <c r="L38" s="26">
        <f>F38*K38</f>
        <v>0</v>
      </c>
      <c r="M38" s="27" t="s">
        <v>353</v>
      </c>
      <c r="P38" s="26">
        <f>IF(AG38="5",J38,0)</f>
        <v>0</v>
      </c>
      <c r="R38" s="26">
        <f>IF(AG38="1",H38,0)</f>
        <v>0</v>
      </c>
      <c r="S38" s="26">
        <f>IF(AG38="1",I38,0)</f>
        <v>0</v>
      </c>
      <c r="T38" s="26">
        <f>IF(AG38="7",H38,0)</f>
        <v>0</v>
      </c>
      <c r="U38" s="26">
        <f>IF(AG38="7",I38,0)</f>
        <v>0</v>
      </c>
      <c r="V38" s="26">
        <f>IF(AG38="2",H38,0)</f>
        <v>0</v>
      </c>
      <c r="W38" s="26">
        <f>IF(AG38="2",I38,0)</f>
        <v>0</v>
      </c>
      <c r="X38" s="26">
        <f>IF(AG38="0",J38,0)</f>
        <v>0</v>
      </c>
      <c r="Y38" s="19" t="s">
        <v>90</v>
      </c>
      <c r="Z38" s="14">
        <f>IF(AD38=0,J38,0)</f>
        <v>0</v>
      </c>
      <c r="AA38" s="14">
        <f>IF(AD38=15,J38,0)</f>
        <v>0</v>
      </c>
      <c r="AB38" s="14">
        <f>IF(AD38=21,J38,0)</f>
        <v>0</v>
      </c>
      <c r="AD38" s="26">
        <v>21</v>
      </c>
      <c r="AE38" s="26">
        <f>G38*0</f>
        <v>0</v>
      </c>
      <c r="AF38" s="26">
        <f>G38*(1-0)</f>
        <v>0</v>
      </c>
      <c r="AG38" s="22" t="s">
        <v>7</v>
      </c>
      <c r="AM38" s="26">
        <f>F38*AE38</f>
        <v>0</v>
      </c>
      <c r="AN38" s="26">
        <f>F38*AF38</f>
        <v>0</v>
      </c>
      <c r="AO38" s="27" t="s">
        <v>367</v>
      </c>
      <c r="AP38" s="27" t="s">
        <v>388</v>
      </c>
      <c r="AQ38" s="19" t="s">
        <v>395</v>
      </c>
      <c r="AS38" s="26">
        <f>AM38+AN38</f>
        <v>0</v>
      </c>
      <c r="AT38" s="26">
        <f>G38/(100-AU38)*100</f>
        <v>0</v>
      </c>
      <c r="AU38" s="26">
        <v>0</v>
      </c>
      <c r="AV38" s="26">
        <f>L38</f>
        <v>0</v>
      </c>
    </row>
    <row r="39" spans="1:13" ht="12.75">
      <c r="A39" s="71"/>
      <c r="B39" s="71"/>
      <c r="C39" s="71"/>
      <c r="D39" s="72" t="s">
        <v>210</v>
      </c>
      <c r="E39" s="71"/>
      <c r="F39" s="73">
        <v>236.22</v>
      </c>
      <c r="G39" s="71"/>
      <c r="H39" s="71"/>
      <c r="I39" s="71"/>
      <c r="J39" s="71"/>
      <c r="K39" s="71"/>
      <c r="L39" s="71"/>
      <c r="M39" s="71"/>
    </row>
    <row r="40" spans="1:48" ht="12.75">
      <c r="A40" s="12" t="s">
        <v>21</v>
      </c>
      <c r="B40" s="12" t="s">
        <v>90</v>
      </c>
      <c r="C40" s="12" t="s">
        <v>106</v>
      </c>
      <c r="D40" s="12" t="s">
        <v>211</v>
      </c>
      <c r="E40" s="12" t="s">
        <v>329</v>
      </c>
      <c r="F40" s="26">
        <v>233.07</v>
      </c>
      <c r="G40" s="75"/>
      <c r="H40" s="26">
        <f>F40*AE40</f>
        <v>0</v>
      </c>
      <c r="I40" s="26">
        <f>J40-H40</f>
        <v>0</v>
      </c>
      <c r="J40" s="26">
        <f>F40*G40</f>
        <v>0</v>
      </c>
      <c r="K40" s="26">
        <v>0</v>
      </c>
      <c r="L40" s="26">
        <f>F40*K40</f>
        <v>0</v>
      </c>
      <c r="M40" s="27" t="s">
        <v>353</v>
      </c>
      <c r="P40" s="26">
        <f>IF(AG40="5",J40,0)</f>
        <v>0</v>
      </c>
      <c r="R40" s="26">
        <f>IF(AG40="1",H40,0)</f>
        <v>0</v>
      </c>
      <c r="S40" s="26">
        <f>IF(AG40="1",I40,0)</f>
        <v>0</v>
      </c>
      <c r="T40" s="26">
        <f>IF(AG40="7",H40,0)</f>
        <v>0</v>
      </c>
      <c r="U40" s="26">
        <f>IF(AG40="7",I40,0)</f>
        <v>0</v>
      </c>
      <c r="V40" s="26">
        <f>IF(AG40="2",H40,0)</f>
        <v>0</v>
      </c>
      <c r="W40" s="26">
        <f>IF(AG40="2",I40,0)</f>
        <v>0</v>
      </c>
      <c r="X40" s="26">
        <f>IF(AG40="0",J40,0)</f>
        <v>0</v>
      </c>
      <c r="Y40" s="19" t="s">
        <v>90</v>
      </c>
      <c r="Z40" s="14">
        <f>IF(AD40=0,J40,0)</f>
        <v>0</v>
      </c>
      <c r="AA40" s="14">
        <f>IF(AD40=15,J40,0)</f>
        <v>0</v>
      </c>
      <c r="AB40" s="14">
        <f>IF(AD40=21,J40,0)</f>
        <v>0</v>
      </c>
      <c r="AD40" s="26">
        <v>21</v>
      </c>
      <c r="AE40" s="26">
        <f>G40*0</f>
        <v>0</v>
      </c>
      <c r="AF40" s="26">
        <f>G40*(1-0)</f>
        <v>0</v>
      </c>
      <c r="AG40" s="22" t="s">
        <v>7</v>
      </c>
      <c r="AM40" s="26">
        <f>F40*AE40</f>
        <v>0</v>
      </c>
      <c r="AN40" s="26">
        <f>F40*AF40</f>
        <v>0</v>
      </c>
      <c r="AO40" s="27" t="s">
        <v>367</v>
      </c>
      <c r="AP40" s="27" t="s">
        <v>388</v>
      </c>
      <c r="AQ40" s="19" t="s">
        <v>395</v>
      </c>
      <c r="AS40" s="26">
        <f>AM40+AN40</f>
        <v>0</v>
      </c>
      <c r="AT40" s="26">
        <f>G40/(100-AU40)*100</f>
        <v>0</v>
      </c>
      <c r="AU40" s="26">
        <v>0</v>
      </c>
      <c r="AV40" s="26">
        <f>L40</f>
        <v>0</v>
      </c>
    </row>
    <row r="41" spans="1:13" ht="12.75">
      <c r="A41" s="71"/>
      <c r="B41" s="71"/>
      <c r="C41" s="71"/>
      <c r="D41" s="72" t="s">
        <v>212</v>
      </c>
      <c r="E41" s="71"/>
      <c r="F41" s="73">
        <v>233.07</v>
      </c>
      <c r="G41" s="71"/>
      <c r="H41" s="71"/>
      <c r="I41" s="71"/>
      <c r="J41" s="71"/>
      <c r="K41" s="71"/>
      <c r="L41" s="71"/>
      <c r="M41" s="71"/>
    </row>
    <row r="42" spans="1:37" ht="12.75">
      <c r="A42" s="67"/>
      <c r="B42" s="68" t="s">
        <v>90</v>
      </c>
      <c r="C42" s="68" t="s">
        <v>23</v>
      </c>
      <c r="D42" s="68" t="s">
        <v>213</v>
      </c>
      <c r="E42" s="67" t="s">
        <v>6</v>
      </c>
      <c r="F42" s="67" t="s">
        <v>6</v>
      </c>
      <c r="G42" s="67" t="s">
        <v>6</v>
      </c>
      <c r="H42" s="69">
        <f>SUM(H43:H45)</f>
        <v>0</v>
      </c>
      <c r="I42" s="69">
        <f>SUM(I43:I45)</f>
        <v>0</v>
      </c>
      <c r="J42" s="69">
        <f>H42+I42</f>
        <v>0</v>
      </c>
      <c r="K42" s="70"/>
      <c r="L42" s="69">
        <f>SUM(L43:L45)</f>
        <v>22.95</v>
      </c>
      <c r="M42" s="70"/>
      <c r="Y42" s="19" t="s">
        <v>90</v>
      </c>
      <c r="AI42" s="28">
        <f>SUM(Z43:Z45)</f>
        <v>0</v>
      </c>
      <c r="AJ42" s="28">
        <f>SUM(AA43:AA45)</f>
        <v>0</v>
      </c>
      <c r="AK42" s="28">
        <f>SUM(AB43:AB45)</f>
        <v>0</v>
      </c>
    </row>
    <row r="43" spans="1:48" ht="12.75">
      <c r="A43" s="12" t="s">
        <v>22</v>
      </c>
      <c r="B43" s="12" t="s">
        <v>90</v>
      </c>
      <c r="C43" s="12" t="s">
        <v>107</v>
      </c>
      <c r="D43" s="12" t="s">
        <v>214</v>
      </c>
      <c r="E43" s="12" t="s">
        <v>329</v>
      </c>
      <c r="F43" s="26">
        <v>3.15</v>
      </c>
      <c r="G43" s="75"/>
      <c r="H43" s="26">
        <f>F43*AE43</f>
        <v>0</v>
      </c>
      <c r="I43" s="26">
        <f>J43-H43</f>
        <v>0</v>
      </c>
      <c r="J43" s="26">
        <f>F43*G43</f>
        <v>0</v>
      </c>
      <c r="K43" s="26">
        <v>0</v>
      </c>
      <c r="L43" s="26">
        <f>F43*K43</f>
        <v>0</v>
      </c>
      <c r="M43" s="27" t="s">
        <v>353</v>
      </c>
      <c r="P43" s="26">
        <f>IF(AG43="5",J43,0)</f>
        <v>0</v>
      </c>
      <c r="R43" s="26">
        <f>IF(AG43="1",H43,0)</f>
        <v>0</v>
      </c>
      <c r="S43" s="26">
        <f>IF(AG43="1",I43,0)</f>
        <v>0</v>
      </c>
      <c r="T43" s="26">
        <f>IF(AG43="7",H43,0)</f>
        <v>0</v>
      </c>
      <c r="U43" s="26">
        <f>IF(AG43="7",I43,0)</f>
        <v>0</v>
      </c>
      <c r="V43" s="26">
        <f>IF(AG43="2",H43,0)</f>
        <v>0</v>
      </c>
      <c r="W43" s="26">
        <f>IF(AG43="2",I43,0)</f>
        <v>0</v>
      </c>
      <c r="X43" s="26">
        <f>IF(AG43="0",J43,0)</f>
        <v>0</v>
      </c>
      <c r="Y43" s="19" t="s">
        <v>90</v>
      </c>
      <c r="Z43" s="14">
        <f>IF(AD43=0,J43,0)</f>
        <v>0</v>
      </c>
      <c r="AA43" s="14">
        <f>IF(AD43=15,J43,0)</f>
        <v>0</v>
      </c>
      <c r="AB43" s="14">
        <f>IF(AD43=21,J43,0)</f>
        <v>0</v>
      </c>
      <c r="AD43" s="26">
        <v>21</v>
      </c>
      <c r="AE43" s="26">
        <f>G43*0</f>
        <v>0</v>
      </c>
      <c r="AF43" s="26">
        <f>G43*(1-0)</f>
        <v>0</v>
      </c>
      <c r="AG43" s="22" t="s">
        <v>7</v>
      </c>
      <c r="AM43" s="26">
        <f>F43*AE43</f>
        <v>0</v>
      </c>
      <c r="AN43" s="26">
        <f>F43*AF43</f>
        <v>0</v>
      </c>
      <c r="AO43" s="27" t="s">
        <v>368</v>
      </c>
      <c r="AP43" s="27" t="s">
        <v>388</v>
      </c>
      <c r="AQ43" s="19" t="s">
        <v>395</v>
      </c>
      <c r="AS43" s="26">
        <f>AM43+AN43</f>
        <v>0</v>
      </c>
      <c r="AT43" s="26">
        <f>G43/(100-AU43)*100</f>
        <v>0</v>
      </c>
      <c r="AU43" s="26">
        <v>0</v>
      </c>
      <c r="AV43" s="26">
        <f>L43</f>
        <v>0</v>
      </c>
    </row>
    <row r="44" spans="1:13" ht="12.75">
      <c r="A44" s="71"/>
      <c r="B44" s="71"/>
      <c r="C44" s="71"/>
      <c r="D44" s="72" t="s">
        <v>215</v>
      </c>
      <c r="E44" s="71"/>
      <c r="F44" s="73">
        <v>3.15</v>
      </c>
      <c r="G44" s="71"/>
      <c r="H44" s="71"/>
      <c r="I44" s="71"/>
      <c r="J44" s="71"/>
      <c r="K44" s="71"/>
      <c r="L44" s="71"/>
      <c r="M44" s="71"/>
    </row>
    <row r="45" spans="1:48" ht="12.75">
      <c r="A45" s="12" t="s">
        <v>23</v>
      </c>
      <c r="B45" s="12" t="s">
        <v>90</v>
      </c>
      <c r="C45" s="12" t="s">
        <v>108</v>
      </c>
      <c r="D45" s="12" t="s">
        <v>216</v>
      </c>
      <c r="E45" s="12" t="s">
        <v>329</v>
      </c>
      <c r="F45" s="26">
        <v>13.5</v>
      </c>
      <c r="G45" s="75"/>
      <c r="H45" s="26">
        <f>F45*AE45</f>
        <v>0</v>
      </c>
      <c r="I45" s="26">
        <f>J45-H45</f>
        <v>0</v>
      </c>
      <c r="J45" s="26">
        <f>F45*G45</f>
        <v>0</v>
      </c>
      <c r="K45" s="26">
        <v>1.7</v>
      </c>
      <c r="L45" s="26">
        <f>F45*K45</f>
        <v>22.95</v>
      </c>
      <c r="M45" s="27" t="s">
        <v>353</v>
      </c>
      <c r="P45" s="26">
        <f>IF(AG45="5",J45,0)</f>
        <v>0</v>
      </c>
      <c r="R45" s="26">
        <f>IF(AG45="1",H45,0)</f>
        <v>0</v>
      </c>
      <c r="S45" s="26">
        <f>IF(AG45="1",I45,0)</f>
        <v>0</v>
      </c>
      <c r="T45" s="26">
        <f>IF(AG45="7",H45,0)</f>
        <v>0</v>
      </c>
      <c r="U45" s="26">
        <f>IF(AG45="7",I45,0)</f>
        <v>0</v>
      </c>
      <c r="V45" s="26">
        <f>IF(AG45="2",H45,0)</f>
        <v>0</v>
      </c>
      <c r="W45" s="26">
        <f>IF(AG45="2",I45,0)</f>
        <v>0</v>
      </c>
      <c r="X45" s="26">
        <f>IF(AG45="0",J45,0)</f>
        <v>0</v>
      </c>
      <c r="Y45" s="19" t="s">
        <v>90</v>
      </c>
      <c r="Z45" s="14">
        <f>IF(AD45=0,J45,0)</f>
        <v>0</v>
      </c>
      <c r="AA45" s="14">
        <f>IF(AD45=15,J45,0)</f>
        <v>0</v>
      </c>
      <c r="AB45" s="14">
        <f>IF(AD45=21,J45,0)</f>
        <v>0</v>
      </c>
      <c r="AD45" s="26">
        <v>21</v>
      </c>
      <c r="AE45" s="26">
        <f>G45*0.518288381742739</f>
        <v>0</v>
      </c>
      <c r="AF45" s="26">
        <f>G45*(1-0.518288381742739)</f>
        <v>0</v>
      </c>
      <c r="AG45" s="22" t="s">
        <v>7</v>
      </c>
      <c r="AM45" s="26">
        <f>F45*AE45</f>
        <v>0</v>
      </c>
      <c r="AN45" s="26">
        <f>F45*AF45</f>
        <v>0</v>
      </c>
      <c r="AO45" s="27" t="s">
        <v>368</v>
      </c>
      <c r="AP45" s="27" t="s">
        <v>388</v>
      </c>
      <c r="AQ45" s="19" t="s">
        <v>395</v>
      </c>
      <c r="AS45" s="26">
        <f>AM45+AN45</f>
        <v>0</v>
      </c>
      <c r="AT45" s="26">
        <f>G45/(100-AU45)*100</f>
        <v>0</v>
      </c>
      <c r="AU45" s="26">
        <v>0</v>
      </c>
      <c r="AV45" s="26">
        <f>L45</f>
        <v>22.95</v>
      </c>
    </row>
    <row r="46" spans="1:13" ht="12.75">
      <c r="A46" s="71"/>
      <c r="B46" s="71"/>
      <c r="C46" s="71"/>
      <c r="D46" s="72" t="s">
        <v>217</v>
      </c>
      <c r="E46" s="71"/>
      <c r="F46" s="73">
        <v>13.5</v>
      </c>
      <c r="G46" s="71"/>
      <c r="H46" s="71"/>
      <c r="I46" s="71"/>
      <c r="J46" s="71"/>
      <c r="K46" s="71"/>
      <c r="L46" s="71"/>
      <c r="M46" s="71"/>
    </row>
    <row r="47" spans="1:37" ht="12.75">
      <c r="A47" s="67"/>
      <c r="B47" s="68" t="s">
        <v>90</v>
      </c>
      <c r="C47" s="68" t="s">
        <v>24</v>
      </c>
      <c r="D47" s="68" t="s">
        <v>218</v>
      </c>
      <c r="E47" s="67" t="s">
        <v>6</v>
      </c>
      <c r="F47" s="67" t="s">
        <v>6</v>
      </c>
      <c r="G47" s="67" t="s">
        <v>6</v>
      </c>
      <c r="H47" s="69">
        <f>SUM(H48:H48)</f>
        <v>0</v>
      </c>
      <c r="I47" s="69">
        <f>SUM(I48:I48)</f>
        <v>0</v>
      </c>
      <c r="J47" s="69">
        <f>H47+I47</f>
        <v>0</v>
      </c>
      <c r="K47" s="70"/>
      <c r="L47" s="69">
        <f>SUM(L48:L48)</f>
        <v>0</v>
      </c>
      <c r="M47" s="70"/>
      <c r="Y47" s="19" t="s">
        <v>90</v>
      </c>
      <c r="AI47" s="28">
        <f>SUM(Z48:Z48)</f>
        <v>0</v>
      </c>
      <c r="AJ47" s="28">
        <f>SUM(AA48:AA48)</f>
        <v>0</v>
      </c>
      <c r="AK47" s="28">
        <f>SUM(AB48:AB48)</f>
        <v>0</v>
      </c>
    </row>
    <row r="48" spans="1:48" ht="12.75">
      <c r="A48" s="12" t="s">
        <v>24</v>
      </c>
      <c r="B48" s="12" t="s">
        <v>90</v>
      </c>
      <c r="C48" s="12" t="s">
        <v>109</v>
      </c>
      <c r="D48" s="12" t="s">
        <v>219</v>
      </c>
      <c r="E48" s="12" t="s">
        <v>327</v>
      </c>
      <c r="F48" s="26">
        <v>720.98</v>
      </c>
      <c r="G48" s="75"/>
      <c r="H48" s="26">
        <f>F48*AE48</f>
        <v>0</v>
      </c>
      <c r="I48" s="26">
        <f>J48-H48</f>
        <v>0</v>
      </c>
      <c r="J48" s="26">
        <f>F48*G48</f>
        <v>0</v>
      </c>
      <c r="K48" s="26">
        <v>0</v>
      </c>
      <c r="L48" s="26">
        <f>F48*K48</f>
        <v>0</v>
      </c>
      <c r="M48" s="27" t="s">
        <v>353</v>
      </c>
      <c r="P48" s="26">
        <f>IF(AG48="5",J48,0)</f>
        <v>0</v>
      </c>
      <c r="R48" s="26">
        <f>IF(AG48="1",H48,0)</f>
        <v>0</v>
      </c>
      <c r="S48" s="26">
        <f>IF(AG48="1",I48,0)</f>
        <v>0</v>
      </c>
      <c r="T48" s="26">
        <f>IF(AG48="7",H48,0)</f>
        <v>0</v>
      </c>
      <c r="U48" s="26">
        <f>IF(AG48="7",I48,0)</f>
        <v>0</v>
      </c>
      <c r="V48" s="26">
        <f>IF(AG48="2",H48,0)</f>
        <v>0</v>
      </c>
      <c r="W48" s="26">
        <f>IF(AG48="2",I48,0)</f>
        <v>0</v>
      </c>
      <c r="X48" s="26">
        <f>IF(AG48="0",J48,0)</f>
        <v>0</v>
      </c>
      <c r="Y48" s="19" t="s">
        <v>90</v>
      </c>
      <c r="Z48" s="14">
        <f>IF(AD48=0,J48,0)</f>
        <v>0</v>
      </c>
      <c r="AA48" s="14">
        <f>IF(AD48=15,J48,0)</f>
        <v>0</v>
      </c>
      <c r="AB48" s="14">
        <f>IF(AD48=21,J48,0)</f>
        <v>0</v>
      </c>
      <c r="AD48" s="26">
        <v>21</v>
      </c>
      <c r="AE48" s="26">
        <f>G48*0</f>
        <v>0</v>
      </c>
      <c r="AF48" s="26">
        <f>G48*(1-0)</f>
        <v>0</v>
      </c>
      <c r="AG48" s="22" t="s">
        <v>7</v>
      </c>
      <c r="AM48" s="26">
        <f>F48*AE48</f>
        <v>0</v>
      </c>
      <c r="AN48" s="26">
        <f>F48*AF48</f>
        <v>0</v>
      </c>
      <c r="AO48" s="27" t="s">
        <v>369</v>
      </c>
      <c r="AP48" s="27" t="s">
        <v>388</v>
      </c>
      <c r="AQ48" s="19" t="s">
        <v>395</v>
      </c>
      <c r="AS48" s="26">
        <f>AM48+AN48</f>
        <v>0</v>
      </c>
      <c r="AT48" s="26">
        <f>G48/(100-AU48)*100</f>
        <v>0</v>
      </c>
      <c r="AU48" s="26">
        <v>0</v>
      </c>
      <c r="AV48" s="26">
        <f>L48</f>
        <v>0</v>
      </c>
    </row>
    <row r="49" spans="1:13" ht="12.75">
      <c r="A49" s="71"/>
      <c r="B49" s="71"/>
      <c r="C49" s="71"/>
      <c r="D49" s="72" t="s">
        <v>220</v>
      </c>
      <c r="E49" s="71"/>
      <c r="F49" s="73">
        <v>593.4</v>
      </c>
      <c r="G49" s="71"/>
      <c r="H49" s="71"/>
      <c r="I49" s="71"/>
      <c r="J49" s="71"/>
      <c r="K49" s="71"/>
      <c r="L49" s="71"/>
      <c r="M49" s="71"/>
    </row>
    <row r="50" spans="1:13" ht="12.75">
      <c r="A50" s="71"/>
      <c r="B50" s="71"/>
      <c r="C50" s="71"/>
      <c r="D50" s="72" t="s">
        <v>221</v>
      </c>
      <c r="E50" s="71"/>
      <c r="F50" s="73">
        <v>79.22</v>
      </c>
      <c r="G50" s="71"/>
      <c r="H50" s="71"/>
      <c r="I50" s="71"/>
      <c r="J50" s="71"/>
      <c r="K50" s="71"/>
      <c r="L50" s="71"/>
      <c r="M50" s="71"/>
    </row>
    <row r="51" spans="1:13" ht="12.75">
      <c r="A51" s="71"/>
      <c r="B51" s="71"/>
      <c r="C51" s="71"/>
      <c r="D51" s="72" t="s">
        <v>222</v>
      </c>
      <c r="E51" s="71"/>
      <c r="F51" s="73">
        <v>48.36</v>
      </c>
      <c r="G51" s="71"/>
      <c r="H51" s="71"/>
      <c r="I51" s="71"/>
      <c r="J51" s="71"/>
      <c r="K51" s="71"/>
      <c r="L51" s="71"/>
      <c r="M51" s="71"/>
    </row>
    <row r="52" spans="1:37" ht="12.75">
      <c r="A52" s="67"/>
      <c r="B52" s="68" t="s">
        <v>90</v>
      </c>
      <c r="C52" s="68" t="s">
        <v>25</v>
      </c>
      <c r="D52" s="68" t="s">
        <v>223</v>
      </c>
      <c r="E52" s="67" t="s">
        <v>6</v>
      </c>
      <c r="F52" s="67" t="s">
        <v>6</v>
      </c>
      <c r="G52" s="67" t="s">
        <v>6</v>
      </c>
      <c r="H52" s="69">
        <f>SUM(H53:H53)</f>
        <v>0</v>
      </c>
      <c r="I52" s="69">
        <f>SUM(I53:I53)</f>
        <v>0</v>
      </c>
      <c r="J52" s="69">
        <f>H52+I52</f>
        <v>0</v>
      </c>
      <c r="K52" s="70"/>
      <c r="L52" s="69">
        <f>SUM(L53:L53)</f>
        <v>0</v>
      </c>
      <c r="M52" s="70"/>
      <c r="Y52" s="19" t="s">
        <v>90</v>
      </c>
      <c r="AI52" s="28">
        <f>SUM(Z53:Z53)</f>
        <v>0</v>
      </c>
      <c r="AJ52" s="28">
        <f>SUM(AA53:AA53)</f>
        <v>0</v>
      </c>
      <c r="AK52" s="28">
        <f>SUM(AB53:AB53)</f>
        <v>0</v>
      </c>
    </row>
    <row r="53" spans="1:48" ht="12.75">
      <c r="A53" s="12" t="s">
        <v>25</v>
      </c>
      <c r="B53" s="12" t="s">
        <v>90</v>
      </c>
      <c r="C53" s="12" t="s">
        <v>110</v>
      </c>
      <c r="D53" s="12" t="s">
        <v>224</v>
      </c>
      <c r="E53" s="12" t="s">
        <v>330</v>
      </c>
      <c r="F53" s="26">
        <v>394.43</v>
      </c>
      <c r="G53" s="75"/>
      <c r="H53" s="26">
        <f>F53*AE53</f>
        <v>0</v>
      </c>
      <c r="I53" s="26">
        <f>J53-H53</f>
        <v>0</v>
      </c>
      <c r="J53" s="26">
        <f>F53*G53</f>
        <v>0</v>
      </c>
      <c r="K53" s="26">
        <v>0</v>
      </c>
      <c r="L53" s="26">
        <f>F53*K53</f>
        <v>0</v>
      </c>
      <c r="M53" s="27" t="s">
        <v>353</v>
      </c>
      <c r="P53" s="26">
        <f>IF(AG53="5",J53,0)</f>
        <v>0</v>
      </c>
      <c r="R53" s="26">
        <f>IF(AG53="1",H53,0)</f>
        <v>0</v>
      </c>
      <c r="S53" s="26">
        <f>IF(AG53="1",I53,0)</f>
        <v>0</v>
      </c>
      <c r="T53" s="26">
        <f>IF(AG53="7",H53,0)</f>
        <v>0</v>
      </c>
      <c r="U53" s="26">
        <f>IF(AG53="7",I53,0)</f>
        <v>0</v>
      </c>
      <c r="V53" s="26">
        <f>IF(AG53="2",H53,0)</f>
        <v>0</v>
      </c>
      <c r="W53" s="26">
        <f>IF(AG53="2",I53,0)</f>
        <v>0</v>
      </c>
      <c r="X53" s="26">
        <f>IF(AG53="0",J53,0)</f>
        <v>0</v>
      </c>
      <c r="Y53" s="19" t="s">
        <v>90</v>
      </c>
      <c r="Z53" s="14">
        <f>IF(AD53=0,J53,0)</f>
        <v>0</v>
      </c>
      <c r="AA53" s="14">
        <f>IF(AD53=15,J53,0)</f>
        <v>0</v>
      </c>
      <c r="AB53" s="14">
        <f>IF(AD53=21,J53,0)</f>
        <v>0</v>
      </c>
      <c r="AD53" s="26">
        <v>21</v>
      </c>
      <c r="AE53" s="26">
        <f>G53*0</f>
        <v>0</v>
      </c>
      <c r="AF53" s="26">
        <f>G53*(1-0)</f>
        <v>0</v>
      </c>
      <c r="AG53" s="22" t="s">
        <v>7</v>
      </c>
      <c r="AM53" s="26">
        <f>F53*AE53</f>
        <v>0</v>
      </c>
      <c r="AN53" s="26">
        <f>F53*AF53</f>
        <v>0</v>
      </c>
      <c r="AO53" s="27" t="s">
        <v>370</v>
      </c>
      <c r="AP53" s="27" t="s">
        <v>388</v>
      </c>
      <c r="AQ53" s="19" t="s">
        <v>395</v>
      </c>
      <c r="AS53" s="26">
        <f>AM53+AN53</f>
        <v>0</v>
      </c>
      <c r="AT53" s="26">
        <f>G53/(100-AU53)*100</f>
        <v>0</v>
      </c>
      <c r="AU53" s="26">
        <v>0</v>
      </c>
      <c r="AV53" s="26">
        <f>L53</f>
        <v>0</v>
      </c>
    </row>
    <row r="54" spans="1:13" ht="12.75">
      <c r="A54" s="71"/>
      <c r="B54" s="71"/>
      <c r="C54" s="71"/>
      <c r="D54" s="72" t="s">
        <v>225</v>
      </c>
      <c r="E54" s="71"/>
      <c r="F54" s="73">
        <v>394.43</v>
      </c>
      <c r="G54" s="71"/>
      <c r="H54" s="71"/>
      <c r="I54" s="71"/>
      <c r="J54" s="71"/>
      <c r="K54" s="71"/>
      <c r="L54" s="71"/>
      <c r="M54" s="71"/>
    </row>
    <row r="55" spans="1:37" ht="12.75">
      <c r="A55" s="3"/>
      <c r="B55" s="10" t="s">
        <v>90</v>
      </c>
      <c r="C55" s="10" t="s">
        <v>27</v>
      </c>
      <c r="D55" s="10" t="s">
        <v>226</v>
      </c>
      <c r="E55" s="3" t="s">
        <v>6</v>
      </c>
      <c r="F55" s="3" t="s">
        <v>6</v>
      </c>
      <c r="G55" s="3" t="s">
        <v>6</v>
      </c>
      <c r="H55" s="28">
        <f>SUM(H56:H57)</f>
        <v>0</v>
      </c>
      <c r="I55" s="28">
        <f>SUM(I56:I57)</f>
        <v>0</v>
      </c>
      <c r="J55" s="28">
        <f>H55+I55</f>
        <v>0</v>
      </c>
      <c r="K55" s="19"/>
      <c r="L55" s="28">
        <f>SUM(L56:L57)</f>
        <v>21.087</v>
      </c>
      <c r="M55" s="19"/>
      <c r="Y55" s="19" t="s">
        <v>90</v>
      </c>
      <c r="AI55" s="28">
        <f>SUM(Z56:Z57)</f>
        <v>0</v>
      </c>
      <c r="AJ55" s="28">
        <f>SUM(AA56:AA57)</f>
        <v>0</v>
      </c>
      <c r="AK55" s="28">
        <f>SUM(AB56:AB57)</f>
        <v>0</v>
      </c>
    </row>
    <row r="56" spans="1:48" ht="12.75">
      <c r="A56" s="12" t="s">
        <v>26</v>
      </c>
      <c r="B56" s="12" t="s">
        <v>90</v>
      </c>
      <c r="C56" s="12" t="s">
        <v>111</v>
      </c>
      <c r="D56" s="12" t="s">
        <v>227</v>
      </c>
      <c r="E56" s="12" t="s">
        <v>328</v>
      </c>
      <c r="F56" s="26">
        <v>90</v>
      </c>
      <c r="G56" s="75"/>
      <c r="H56" s="26">
        <f>F56*AE56</f>
        <v>0</v>
      </c>
      <c r="I56" s="26">
        <f>J56-H56</f>
        <v>0</v>
      </c>
      <c r="J56" s="26">
        <f>F56*G56</f>
        <v>0</v>
      </c>
      <c r="K56" s="26">
        <v>0.23382</v>
      </c>
      <c r="L56" s="26">
        <f>F56*K56</f>
        <v>21.0438</v>
      </c>
      <c r="M56" s="27" t="s">
        <v>353</v>
      </c>
      <c r="P56" s="26">
        <f>IF(AG56="5",J56,0)</f>
        <v>0</v>
      </c>
      <c r="R56" s="26">
        <f>IF(AG56="1",H56,0)</f>
        <v>0</v>
      </c>
      <c r="S56" s="26">
        <f>IF(AG56="1",I56,0)</f>
        <v>0</v>
      </c>
      <c r="T56" s="26">
        <f>IF(AG56="7",H56,0)</f>
        <v>0</v>
      </c>
      <c r="U56" s="26">
        <f>IF(AG56="7",I56,0)</f>
        <v>0</v>
      </c>
      <c r="V56" s="26">
        <f>IF(AG56="2",H56,0)</f>
        <v>0</v>
      </c>
      <c r="W56" s="26">
        <f>IF(AG56="2",I56,0)</f>
        <v>0</v>
      </c>
      <c r="X56" s="26">
        <f>IF(AG56="0",J56,0)</f>
        <v>0</v>
      </c>
      <c r="Y56" s="19" t="s">
        <v>90</v>
      </c>
      <c r="Z56" s="14">
        <f>IF(AD56=0,J56,0)</f>
        <v>0</v>
      </c>
      <c r="AA56" s="14">
        <f>IF(AD56=15,J56,0)</f>
        <v>0</v>
      </c>
      <c r="AB56" s="14">
        <f>IF(AD56=21,J56,0)</f>
        <v>0</v>
      </c>
      <c r="AD56" s="26">
        <v>21</v>
      </c>
      <c r="AE56" s="26">
        <f>G56*0.684788029925187</f>
        <v>0</v>
      </c>
      <c r="AF56" s="26">
        <f>G56*(1-0.684788029925187)</f>
        <v>0</v>
      </c>
      <c r="AG56" s="22" t="s">
        <v>7</v>
      </c>
      <c r="AM56" s="26">
        <f>F56*AE56</f>
        <v>0</v>
      </c>
      <c r="AN56" s="26">
        <f>F56*AF56</f>
        <v>0</v>
      </c>
      <c r="AO56" s="27" t="s">
        <v>371</v>
      </c>
      <c r="AP56" s="27" t="s">
        <v>389</v>
      </c>
      <c r="AQ56" s="19" t="s">
        <v>395</v>
      </c>
      <c r="AS56" s="26">
        <f>AM56+AN56</f>
        <v>0</v>
      </c>
      <c r="AT56" s="26">
        <f>G56/(100-AU56)*100</f>
        <v>0</v>
      </c>
      <c r="AU56" s="26">
        <v>0</v>
      </c>
      <c r="AV56" s="26">
        <f>L56</f>
        <v>21.0438</v>
      </c>
    </row>
    <row r="57" spans="1:48" ht="12.75">
      <c r="A57" s="12" t="s">
        <v>27</v>
      </c>
      <c r="B57" s="12" t="s">
        <v>90</v>
      </c>
      <c r="C57" s="12" t="s">
        <v>112</v>
      </c>
      <c r="D57" s="12" t="s">
        <v>228</v>
      </c>
      <c r="E57" s="12" t="s">
        <v>328</v>
      </c>
      <c r="F57" s="26">
        <v>90</v>
      </c>
      <c r="G57" s="75"/>
      <c r="H57" s="26">
        <f>F57*AE57</f>
        <v>0</v>
      </c>
      <c r="I57" s="26">
        <f>J57-H57</f>
        <v>0</v>
      </c>
      <c r="J57" s="26">
        <f>F57*G57</f>
        <v>0</v>
      </c>
      <c r="K57" s="26">
        <v>0.00048</v>
      </c>
      <c r="L57" s="26">
        <f>F57*K57</f>
        <v>0.0432</v>
      </c>
      <c r="M57" s="27" t="s">
        <v>353</v>
      </c>
      <c r="P57" s="26">
        <f>IF(AG57="5",J57,0)</f>
        <v>0</v>
      </c>
      <c r="R57" s="26">
        <f>IF(AG57="1",H57,0)</f>
        <v>0</v>
      </c>
      <c r="S57" s="26">
        <f>IF(AG57="1",I57,0)</f>
        <v>0</v>
      </c>
      <c r="T57" s="26">
        <f>IF(AG57="7",H57,0)</f>
        <v>0</v>
      </c>
      <c r="U57" s="26">
        <f>IF(AG57="7",I57,0)</f>
        <v>0</v>
      </c>
      <c r="V57" s="26">
        <f>IF(AG57="2",H57,0)</f>
        <v>0</v>
      </c>
      <c r="W57" s="26">
        <f>IF(AG57="2",I57,0)</f>
        <v>0</v>
      </c>
      <c r="X57" s="26">
        <f>IF(AG57="0",J57,0)</f>
        <v>0</v>
      </c>
      <c r="Y57" s="19" t="s">
        <v>90</v>
      </c>
      <c r="Z57" s="16">
        <f>IF(AD57=0,J57,0)</f>
        <v>0</v>
      </c>
      <c r="AA57" s="16">
        <f>IF(AD57=15,J57,0)</f>
        <v>0</v>
      </c>
      <c r="AB57" s="16">
        <f>IF(AD57=21,J57,0)</f>
        <v>0</v>
      </c>
      <c r="AD57" s="26">
        <v>21</v>
      </c>
      <c r="AE57" s="26">
        <f>G57*1</f>
        <v>0</v>
      </c>
      <c r="AF57" s="26">
        <f>G57*(1-1)</f>
        <v>0</v>
      </c>
      <c r="AG57" s="23" t="s">
        <v>7</v>
      </c>
      <c r="AM57" s="26">
        <f>F57*AE57</f>
        <v>0</v>
      </c>
      <c r="AN57" s="26">
        <f>F57*AF57</f>
        <v>0</v>
      </c>
      <c r="AO57" s="27" t="s">
        <v>371</v>
      </c>
      <c r="AP57" s="27" t="s">
        <v>389</v>
      </c>
      <c r="AQ57" s="19" t="s">
        <v>395</v>
      </c>
      <c r="AS57" s="26">
        <f>AM57+AN57</f>
        <v>0</v>
      </c>
      <c r="AT57" s="26">
        <f>G57/(100-AU57)*100</f>
        <v>0</v>
      </c>
      <c r="AU57" s="26">
        <v>0</v>
      </c>
      <c r="AV57" s="26">
        <f>L57</f>
        <v>0.0432</v>
      </c>
    </row>
    <row r="58" spans="1:37" ht="12.75">
      <c r="A58" s="3"/>
      <c r="B58" s="10" t="s">
        <v>90</v>
      </c>
      <c r="C58" s="10" t="s">
        <v>33</v>
      </c>
      <c r="D58" s="10" t="s">
        <v>229</v>
      </c>
      <c r="E58" s="3" t="s">
        <v>6</v>
      </c>
      <c r="F58" s="3" t="s">
        <v>6</v>
      </c>
      <c r="G58" s="3" t="s">
        <v>6</v>
      </c>
      <c r="H58" s="28">
        <f>SUM(H59:H59)</f>
        <v>0</v>
      </c>
      <c r="I58" s="28">
        <f>SUM(I59:I59)</f>
        <v>0</v>
      </c>
      <c r="J58" s="28">
        <f>H58+I58</f>
        <v>0</v>
      </c>
      <c r="K58" s="19"/>
      <c r="L58" s="28">
        <f>SUM(L59:L59)</f>
        <v>0.1956976</v>
      </c>
      <c r="M58" s="19"/>
      <c r="Y58" s="19" t="s">
        <v>90</v>
      </c>
      <c r="AI58" s="28">
        <f>SUM(Z59:Z59)</f>
        <v>0</v>
      </c>
      <c r="AJ58" s="28">
        <f>SUM(AA59:AA59)</f>
        <v>0</v>
      </c>
      <c r="AK58" s="28">
        <f>SUM(AB59:AB59)</f>
        <v>0</v>
      </c>
    </row>
    <row r="59" spans="1:48" ht="12.75">
      <c r="A59" s="12" t="s">
        <v>28</v>
      </c>
      <c r="B59" s="12" t="s">
        <v>90</v>
      </c>
      <c r="C59" s="12" t="s">
        <v>113</v>
      </c>
      <c r="D59" s="12" t="s">
        <v>230</v>
      </c>
      <c r="E59" s="12" t="s">
        <v>329</v>
      </c>
      <c r="F59" s="26">
        <v>0.08</v>
      </c>
      <c r="G59" s="75"/>
      <c r="H59" s="26">
        <f>F59*AE59</f>
        <v>0</v>
      </c>
      <c r="I59" s="26">
        <f>J59-H59</f>
        <v>0</v>
      </c>
      <c r="J59" s="26">
        <f>F59*G59</f>
        <v>0</v>
      </c>
      <c r="K59" s="26">
        <v>2.44622</v>
      </c>
      <c r="L59" s="26">
        <f>F59*K59</f>
        <v>0.1956976</v>
      </c>
      <c r="M59" s="27" t="s">
        <v>353</v>
      </c>
      <c r="P59" s="26">
        <f>IF(AG59="5",J59,0)</f>
        <v>0</v>
      </c>
      <c r="R59" s="26">
        <f>IF(AG59="1",H59,0)</f>
        <v>0</v>
      </c>
      <c r="S59" s="26">
        <f>IF(AG59="1",I59,0)</f>
        <v>0</v>
      </c>
      <c r="T59" s="26">
        <f>IF(AG59="7",H59,0)</f>
        <v>0</v>
      </c>
      <c r="U59" s="26">
        <f>IF(AG59="7",I59,0)</f>
        <v>0</v>
      </c>
      <c r="V59" s="26">
        <f>IF(AG59="2",H59,0)</f>
        <v>0</v>
      </c>
      <c r="W59" s="26">
        <f>IF(AG59="2",I59,0)</f>
        <v>0</v>
      </c>
      <c r="X59" s="26">
        <f>IF(AG59="0",J59,0)</f>
        <v>0</v>
      </c>
      <c r="Y59" s="19" t="s">
        <v>90</v>
      </c>
      <c r="Z59" s="14">
        <f>IF(AD59=0,J59,0)</f>
        <v>0</v>
      </c>
      <c r="AA59" s="14">
        <f>IF(AD59=15,J59,0)</f>
        <v>0</v>
      </c>
      <c r="AB59" s="14">
        <f>IF(AD59=21,J59,0)</f>
        <v>0</v>
      </c>
      <c r="AD59" s="26">
        <v>21</v>
      </c>
      <c r="AE59" s="26">
        <f>G59*0.9033385518591</f>
        <v>0</v>
      </c>
      <c r="AF59" s="26">
        <f>G59*(1-0.9033385518591)</f>
        <v>0</v>
      </c>
      <c r="AG59" s="22" t="s">
        <v>7</v>
      </c>
      <c r="AM59" s="26">
        <f>F59*AE59</f>
        <v>0</v>
      </c>
      <c r="AN59" s="26">
        <f>F59*AF59</f>
        <v>0</v>
      </c>
      <c r="AO59" s="27" t="s">
        <v>372</v>
      </c>
      <c r="AP59" s="27" t="s">
        <v>389</v>
      </c>
      <c r="AQ59" s="19" t="s">
        <v>395</v>
      </c>
      <c r="AS59" s="26">
        <f>AM59+AN59</f>
        <v>0</v>
      </c>
      <c r="AT59" s="26">
        <f>G59/(100-AU59)*100</f>
        <v>0</v>
      </c>
      <c r="AU59" s="26">
        <v>0</v>
      </c>
      <c r="AV59" s="26">
        <f>L59</f>
        <v>0.1956976</v>
      </c>
    </row>
    <row r="60" spans="1:13" ht="12.75">
      <c r="A60" s="71"/>
      <c r="B60" s="71"/>
      <c r="C60" s="71"/>
      <c r="D60" s="72" t="s">
        <v>231</v>
      </c>
      <c r="E60" s="71"/>
      <c r="F60" s="73">
        <v>0.08</v>
      </c>
      <c r="G60" s="71"/>
      <c r="H60" s="71"/>
      <c r="I60" s="71"/>
      <c r="J60" s="71"/>
      <c r="K60" s="71"/>
      <c r="L60" s="71"/>
      <c r="M60" s="71"/>
    </row>
    <row r="61" spans="1:37" ht="12.75">
      <c r="A61" s="67"/>
      <c r="B61" s="68" t="s">
        <v>90</v>
      </c>
      <c r="C61" s="68" t="s">
        <v>51</v>
      </c>
      <c r="D61" s="68" t="s">
        <v>232</v>
      </c>
      <c r="E61" s="67" t="s">
        <v>6</v>
      </c>
      <c r="F61" s="67" t="s">
        <v>6</v>
      </c>
      <c r="G61" s="67" t="s">
        <v>6</v>
      </c>
      <c r="H61" s="69">
        <f>SUM(H62:H62)</f>
        <v>0</v>
      </c>
      <c r="I61" s="69">
        <f>SUM(I62:I62)</f>
        <v>0</v>
      </c>
      <c r="J61" s="69">
        <f>H61+I61</f>
        <v>0</v>
      </c>
      <c r="K61" s="70"/>
      <c r="L61" s="69">
        <f>SUM(L62:L62)</f>
        <v>3.0569400000000004</v>
      </c>
      <c r="M61" s="70"/>
      <c r="Y61" s="19" t="s">
        <v>90</v>
      </c>
      <c r="AI61" s="28">
        <f>SUM(Z62:Z62)</f>
        <v>0</v>
      </c>
      <c r="AJ61" s="28">
        <f>SUM(AA62:AA62)</f>
        <v>0</v>
      </c>
      <c r="AK61" s="28">
        <f>SUM(AB62:AB62)</f>
        <v>0</v>
      </c>
    </row>
    <row r="62" spans="1:48" ht="12.75">
      <c r="A62" s="12" t="s">
        <v>29</v>
      </c>
      <c r="B62" s="12" t="s">
        <v>90</v>
      </c>
      <c r="C62" s="12" t="s">
        <v>114</v>
      </c>
      <c r="D62" s="12" t="s">
        <v>233</v>
      </c>
      <c r="E62" s="12" t="s">
        <v>329</v>
      </c>
      <c r="F62" s="26">
        <v>2.7</v>
      </c>
      <c r="G62" s="75"/>
      <c r="H62" s="26">
        <f>F62*AE62</f>
        <v>0</v>
      </c>
      <c r="I62" s="26">
        <f>J62-H62</f>
        <v>0</v>
      </c>
      <c r="J62" s="26">
        <f>F62*G62</f>
        <v>0</v>
      </c>
      <c r="K62" s="26">
        <v>1.1322</v>
      </c>
      <c r="L62" s="26">
        <f>F62*K62</f>
        <v>3.0569400000000004</v>
      </c>
      <c r="M62" s="27" t="s">
        <v>353</v>
      </c>
      <c r="P62" s="26">
        <f>IF(AG62="5",J62,0)</f>
        <v>0</v>
      </c>
      <c r="R62" s="26">
        <f>IF(AG62="1",H62,0)</f>
        <v>0</v>
      </c>
      <c r="S62" s="26">
        <f>IF(AG62="1",I62,0)</f>
        <v>0</v>
      </c>
      <c r="T62" s="26">
        <f>IF(AG62="7",H62,0)</f>
        <v>0</v>
      </c>
      <c r="U62" s="26">
        <f>IF(AG62="7",I62,0)</f>
        <v>0</v>
      </c>
      <c r="V62" s="26">
        <f>IF(AG62="2",H62,0)</f>
        <v>0</v>
      </c>
      <c r="W62" s="26">
        <f>IF(AG62="2",I62,0)</f>
        <v>0</v>
      </c>
      <c r="X62" s="26">
        <f>IF(AG62="0",J62,0)</f>
        <v>0</v>
      </c>
      <c r="Y62" s="19" t="s">
        <v>90</v>
      </c>
      <c r="Z62" s="14">
        <f>IF(AD62=0,J62,0)</f>
        <v>0</v>
      </c>
      <c r="AA62" s="14">
        <f>IF(AD62=15,J62,0)</f>
        <v>0</v>
      </c>
      <c r="AB62" s="14">
        <f>IF(AD62=21,J62,0)</f>
        <v>0</v>
      </c>
      <c r="AD62" s="26">
        <v>21</v>
      </c>
      <c r="AE62" s="26">
        <f>G62*0.537763280521901</f>
        <v>0</v>
      </c>
      <c r="AF62" s="26">
        <f>G62*(1-0.537763280521901)</f>
        <v>0</v>
      </c>
      <c r="AG62" s="22" t="s">
        <v>7</v>
      </c>
      <c r="AM62" s="26">
        <f>F62*AE62</f>
        <v>0</v>
      </c>
      <c r="AN62" s="26">
        <f>F62*AF62</f>
        <v>0</v>
      </c>
      <c r="AO62" s="27" t="s">
        <v>373</v>
      </c>
      <c r="AP62" s="27" t="s">
        <v>390</v>
      </c>
      <c r="AQ62" s="19" t="s">
        <v>395</v>
      </c>
      <c r="AS62" s="26">
        <f>AM62+AN62</f>
        <v>0</v>
      </c>
      <c r="AT62" s="26">
        <f>G62/(100-AU62)*100</f>
        <v>0</v>
      </c>
      <c r="AU62" s="26">
        <v>0</v>
      </c>
      <c r="AV62" s="26">
        <f>L62</f>
        <v>3.0569400000000004</v>
      </c>
    </row>
    <row r="63" spans="1:13" ht="12.75">
      <c r="A63" s="71"/>
      <c r="B63" s="71"/>
      <c r="C63" s="71"/>
      <c r="D63" s="72" t="s">
        <v>234</v>
      </c>
      <c r="E63" s="71"/>
      <c r="F63" s="73">
        <v>2.7</v>
      </c>
      <c r="G63" s="71"/>
      <c r="H63" s="71"/>
      <c r="I63" s="71"/>
      <c r="J63" s="71"/>
      <c r="K63" s="71"/>
      <c r="L63" s="71"/>
      <c r="M63" s="71"/>
    </row>
    <row r="64" spans="1:37" ht="12.75">
      <c r="A64" s="67"/>
      <c r="B64" s="68" t="s">
        <v>90</v>
      </c>
      <c r="C64" s="68" t="s">
        <v>62</v>
      </c>
      <c r="D64" s="68" t="s">
        <v>235</v>
      </c>
      <c r="E64" s="67" t="s">
        <v>6</v>
      </c>
      <c r="F64" s="67" t="s">
        <v>6</v>
      </c>
      <c r="G64" s="67" t="s">
        <v>6</v>
      </c>
      <c r="H64" s="69">
        <f>SUM(H65:H72)</f>
        <v>0</v>
      </c>
      <c r="I64" s="69">
        <f>SUM(I65:I72)</f>
        <v>0</v>
      </c>
      <c r="J64" s="69">
        <f>H64+I64</f>
        <v>0</v>
      </c>
      <c r="K64" s="70"/>
      <c r="L64" s="69">
        <f>SUM(L65:L72)</f>
        <v>818.723137</v>
      </c>
      <c r="M64" s="70"/>
      <c r="Y64" s="19" t="s">
        <v>90</v>
      </c>
      <c r="AI64" s="28">
        <f>SUM(Z65:Z72)</f>
        <v>0</v>
      </c>
      <c r="AJ64" s="28">
        <f>SUM(AA65:AA72)</f>
        <v>0</v>
      </c>
      <c r="AK64" s="28">
        <f>SUM(AB65:AB72)</f>
        <v>0</v>
      </c>
    </row>
    <row r="65" spans="1:48" ht="12.75">
      <c r="A65" s="12" t="s">
        <v>30</v>
      </c>
      <c r="B65" s="12" t="s">
        <v>90</v>
      </c>
      <c r="C65" s="12" t="s">
        <v>115</v>
      </c>
      <c r="D65" s="12" t="s">
        <v>236</v>
      </c>
      <c r="E65" s="12" t="s">
        <v>327</v>
      </c>
      <c r="F65" s="26">
        <v>136.15</v>
      </c>
      <c r="G65" s="75"/>
      <c r="H65" s="26">
        <f>F65*AE65</f>
        <v>0</v>
      </c>
      <c r="I65" s="26">
        <f>J65-H65</f>
        <v>0</v>
      </c>
      <c r="J65" s="26">
        <f>F65*G65</f>
        <v>0</v>
      </c>
      <c r="K65" s="26">
        <v>0.27994</v>
      </c>
      <c r="L65" s="26">
        <f>F65*K65</f>
        <v>38.113831000000005</v>
      </c>
      <c r="M65" s="27" t="s">
        <v>353</v>
      </c>
      <c r="P65" s="26">
        <f>IF(AG65="5",J65,0)</f>
        <v>0</v>
      </c>
      <c r="R65" s="26">
        <f>IF(AG65="1",H65,0)</f>
        <v>0</v>
      </c>
      <c r="S65" s="26">
        <f>IF(AG65="1",I65,0)</f>
        <v>0</v>
      </c>
      <c r="T65" s="26">
        <f>IF(AG65="7",H65,0)</f>
        <v>0</v>
      </c>
      <c r="U65" s="26">
        <f>IF(AG65="7",I65,0)</f>
        <v>0</v>
      </c>
      <c r="V65" s="26">
        <f>IF(AG65="2",H65,0)</f>
        <v>0</v>
      </c>
      <c r="W65" s="26">
        <f>IF(AG65="2",I65,0)</f>
        <v>0</v>
      </c>
      <c r="X65" s="26">
        <f>IF(AG65="0",J65,0)</f>
        <v>0</v>
      </c>
      <c r="Y65" s="19" t="s">
        <v>90</v>
      </c>
      <c r="Z65" s="14">
        <f>IF(AD65=0,J65,0)</f>
        <v>0</v>
      </c>
      <c r="AA65" s="14">
        <f>IF(AD65=15,J65,0)</f>
        <v>0</v>
      </c>
      <c r="AB65" s="14">
        <f>IF(AD65=21,J65,0)</f>
        <v>0</v>
      </c>
      <c r="AD65" s="26">
        <v>21</v>
      </c>
      <c r="AE65" s="26">
        <f>G65*0.865916388734866</f>
        <v>0</v>
      </c>
      <c r="AF65" s="26">
        <f>G65*(1-0.865916388734866)</f>
        <v>0</v>
      </c>
      <c r="AG65" s="22" t="s">
        <v>7</v>
      </c>
      <c r="AM65" s="26">
        <f>F65*AE65</f>
        <v>0</v>
      </c>
      <c r="AN65" s="26">
        <f>F65*AF65</f>
        <v>0</v>
      </c>
      <c r="AO65" s="27" t="s">
        <v>374</v>
      </c>
      <c r="AP65" s="27" t="s">
        <v>391</v>
      </c>
      <c r="AQ65" s="19" t="s">
        <v>395</v>
      </c>
      <c r="AS65" s="26">
        <f>AM65+AN65</f>
        <v>0</v>
      </c>
      <c r="AT65" s="26">
        <f>G65/(100-AU65)*100</f>
        <v>0</v>
      </c>
      <c r="AU65" s="26">
        <v>0</v>
      </c>
      <c r="AV65" s="26">
        <f>L65</f>
        <v>38.113831000000005</v>
      </c>
    </row>
    <row r="66" spans="1:13" ht="12.75">
      <c r="A66" s="71"/>
      <c r="B66" s="71"/>
      <c r="C66" s="71"/>
      <c r="D66" s="72" t="s">
        <v>237</v>
      </c>
      <c r="E66" s="71"/>
      <c r="F66" s="73">
        <v>136.15</v>
      </c>
      <c r="G66" s="71"/>
      <c r="H66" s="71"/>
      <c r="I66" s="71"/>
      <c r="J66" s="71"/>
      <c r="K66" s="71"/>
      <c r="L66" s="71"/>
      <c r="M66" s="71"/>
    </row>
    <row r="67" spans="1:48" ht="12.75">
      <c r="A67" s="12" t="s">
        <v>31</v>
      </c>
      <c r="B67" s="12" t="s">
        <v>90</v>
      </c>
      <c r="C67" s="12" t="s">
        <v>116</v>
      </c>
      <c r="D67" s="12" t="s">
        <v>238</v>
      </c>
      <c r="E67" s="12" t="s">
        <v>327</v>
      </c>
      <c r="F67" s="26">
        <v>593.4</v>
      </c>
      <c r="G67" s="75"/>
      <c r="H67" s="26">
        <f>F67*AE67</f>
        <v>0</v>
      </c>
      <c r="I67" s="26">
        <f>J67-H67</f>
        <v>0</v>
      </c>
      <c r="J67" s="26">
        <f>F67*G67</f>
        <v>0</v>
      </c>
      <c r="K67" s="26">
        <v>0.441</v>
      </c>
      <c r="L67" s="26">
        <f>F67*K67</f>
        <v>261.6894</v>
      </c>
      <c r="M67" s="27" t="s">
        <v>353</v>
      </c>
      <c r="P67" s="26">
        <f>IF(AG67="5",J67,0)</f>
        <v>0</v>
      </c>
      <c r="R67" s="26">
        <f>IF(AG67="1",H67,0)</f>
        <v>0</v>
      </c>
      <c r="S67" s="26">
        <f>IF(AG67="1",I67,0)</f>
        <v>0</v>
      </c>
      <c r="T67" s="26">
        <f>IF(AG67="7",H67,0)</f>
        <v>0</v>
      </c>
      <c r="U67" s="26">
        <f>IF(AG67="7",I67,0)</f>
        <v>0</v>
      </c>
      <c r="V67" s="26">
        <f>IF(AG67="2",H67,0)</f>
        <v>0</v>
      </c>
      <c r="W67" s="26">
        <f>IF(AG67="2",I67,0)</f>
        <v>0</v>
      </c>
      <c r="X67" s="26">
        <f>IF(AG67="0",J67,0)</f>
        <v>0</v>
      </c>
      <c r="Y67" s="19" t="s">
        <v>90</v>
      </c>
      <c r="Z67" s="14">
        <f>IF(AD67=0,J67,0)</f>
        <v>0</v>
      </c>
      <c r="AA67" s="14">
        <f>IF(AD67=15,J67,0)</f>
        <v>0</v>
      </c>
      <c r="AB67" s="14">
        <f>IF(AD67=21,J67,0)</f>
        <v>0</v>
      </c>
      <c r="AD67" s="26">
        <v>21</v>
      </c>
      <c r="AE67" s="26">
        <f>G67*0.866939759036144</f>
        <v>0</v>
      </c>
      <c r="AF67" s="26">
        <f>G67*(1-0.866939759036144)</f>
        <v>0</v>
      </c>
      <c r="AG67" s="22" t="s">
        <v>7</v>
      </c>
      <c r="AM67" s="26">
        <f>F67*AE67</f>
        <v>0</v>
      </c>
      <c r="AN67" s="26">
        <f>F67*AF67</f>
        <v>0</v>
      </c>
      <c r="AO67" s="27" t="s">
        <v>374</v>
      </c>
      <c r="AP67" s="27" t="s">
        <v>391</v>
      </c>
      <c r="AQ67" s="19" t="s">
        <v>395</v>
      </c>
      <c r="AS67" s="26">
        <f>AM67+AN67</f>
        <v>0</v>
      </c>
      <c r="AT67" s="26">
        <f>G67/(100-AU67)*100</f>
        <v>0</v>
      </c>
      <c r="AU67" s="26">
        <v>0</v>
      </c>
      <c r="AV67" s="26">
        <f>L67</f>
        <v>261.6894</v>
      </c>
    </row>
    <row r="68" spans="1:13" ht="12.75">
      <c r="A68" s="71"/>
      <c r="B68" s="71"/>
      <c r="C68" s="71"/>
      <c r="D68" s="72" t="s">
        <v>239</v>
      </c>
      <c r="E68" s="71"/>
      <c r="F68" s="73">
        <v>593.4</v>
      </c>
      <c r="G68" s="71"/>
      <c r="H68" s="71"/>
      <c r="I68" s="71"/>
      <c r="J68" s="71"/>
      <c r="K68" s="71"/>
      <c r="L68" s="71"/>
      <c r="M68" s="71"/>
    </row>
    <row r="69" spans="1:48" ht="12.75">
      <c r="A69" s="12" t="s">
        <v>32</v>
      </c>
      <c r="B69" s="12" t="s">
        <v>90</v>
      </c>
      <c r="C69" s="12" t="s">
        <v>117</v>
      </c>
      <c r="D69" s="12" t="s">
        <v>240</v>
      </c>
      <c r="E69" s="12" t="s">
        <v>327</v>
      </c>
      <c r="F69" s="26">
        <v>79.22</v>
      </c>
      <c r="G69" s="75"/>
      <c r="H69" s="26">
        <f>F69*AE69</f>
        <v>0</v>
      </c>
      <c r="I69" s="26">
        <f>J69-H69</f>
        <v>0</v>
      </c>
      <c r="J69" s="26">
        <f>F69*G69</f>
        <v>0</v>
      </c>
      <c r="K69" s="26">
        <v>0.55125</v>
      </c>
      <c r="L69" s="26">
        <f>F69*K69</f>
        <v>43.670025</v>
      </c>
      <c r="M69" s="27" t="s">
        <v>353</v>
      </c>
      <c r="P69" s="26">
        <f>IF(AG69="5",J69,0)</f>
        <v>0</v>
      </c>
      <c r="R69" s="26">
        <f>IF(AG69="1",H69,0)</f>
        <v>0</v>
      </c>
      <c r="S69" s="26">
        <f>IF(AG69="1",I69,0)</f>
        <v>0</v>
      </c>
      <c r="T69" s="26">
        <f>IF(AG69="7",H69,0)</f>
        <v>0</v>
      </c>
      <c r="U69" s="26">
        <f>IF(AG69="7",I69,0)</f>
        <v>0</v>
      </c>
      <c r="V69" s="26">
        <f>IF(AG69="2",H69,0)</f>
        <v>0</v>
      </c>
      <c r="W69" s="26">
        <f>IF(AG69="2",I69,0)</f>
        <v>0</v>
      </c>
      <c r="X69" s="26">
        <f>IF(AG69="0",J69,0)</f>
        <v>0</v>
      </c>
      <c r="Y69" s="19" t="s">
        <v>90</v>
      </c>
      <c r="Z69" s="14">
        <f>IF(AD69=0,J69,0)</f>
        <v>0</v>
      </c>
      <c r="AA69" s="14">
        <f>IF(AD69=15,J69,0)</f>
        <v>0</v>
      </c>
      <c r="AB69" s="14">
        <f>IF(AD69=21,J69,0)</f>
        <v>0</v>
      </c>
      <c r="AD69" s="26">
        <v>21</v>
      </c>
      <c r="AE69" s="26">
        <f>G69*0.883896759252357</f>
        <v>0</v>
      </c>
      <c r="AF69" s="26">
        <f>G69*(1-0.883896759252357)</f>
        <v>0</v>
      </c>
      <c r="AG69" s="22" t="s">
        <v>7</v>
      </c>
      <c r="AM69" s="26">
        <f>F69*AE69</f>
        <v>0</v>
      </c>
      <c r="AN69" s="26">
        <f>F69*AF69</f>
        <v>0</v>
      </c>
      <c r="AO69" s="27" t="s">
        <v>374</v>
      </c>
      <c r="AP69" s="27" t="s">
        <v>391</v>
      </c>
      <c r="AQ69" s="19" t="s">
        <v>395</v>
      </c>
      <c r="AS69" s="26">
        <f>AM69+AN69</f>
        <v>0</v>
      </c>
      <c r="AT69" s="26">
        <f>G69/(100-AU69)*100</f>
        <v>0</v>
      </c>
      <c r="AU69" s="26">
        <v>0</v>
      </c>
      <c r="AV69" s="26">
        <f>L69</f>
        <v>43.670025</v>
      </c>
    </row>
    <row r="70" spans="1:13" ht="12.75">
      <c r="A70" s="71"/>
      <c r="B70" s="71"/>
      <c r="C70" s="71"/>
      <c r="D70" s="72" t="s">
        <v>241</v>
      </c>
      <c r="E70" s="71"/>
      <c r="F70" s="73">
        <v>79.22</v>
      </c>
      <c r="G70" s="71"/>
      <c r="H70" s="71"/>
      <c r="I70" s="71"/>
      <c r="J70" s="71"/>
      <c r="K70" s="71"/>
      <c r="L70" s="71"/>
      <c r="M70" s="71"/>
    </row>
    <row r="71" spans="1:48" ht="12.75">
      <c r="A71" s="12" t="s">
        <v>33</v>
      </c>
      <c r="B71" s="12" t="s">
        <v>90</v>
      </c>
      <c r="C71" s="12" t="s">
        <v>118</v>
      </c>
      <c r="D71" s="12" t="s">
        <v>242</v>
      </c>
      <c r="E71" s="12" t="s">
        <v>327</v>
      </c>
      <c r="F71" s="26">
        <v>163.5</v>
      </c>
      <c r="G71" s="75"/>
      <c r="H71" s="26">
        <f>F71*AE71</f>
        <v>0</v>
      </c>
      <c r="I71" s="26">
        <f>J71-H71</f>
        <v>0</v>
      </c>
      <c r="J71" s="26">
        <f>F71*G71</f>
        <v>0</v>
      </c>
      <c r="K71" s="26">
        <v>0.30651</v>
      </c>
      <c r="L71" s="26">
        <f>F71*K71</f>
        <v>50.114385</v>
      </c>
      <c r="M71" s="27" t="s">
        <v>353</v>
      </c>
      <c r="P71" s="26">
        <f>IF(AG71="5",J71,0)</f>
        <v>0</v>
      </c>
      <c r="R71" s="26">
        <f>IF(AG71="1",H71,0)</f>
        <v>0</v>
      </c>
      <c r="S71" s="26">
        <f>IF(AG71="1",I71,0)</f>
        <v>0</v>
      </c>
      <c r="T71" s="26">
        <f>IF(AG71="7",H71,0)</f>
        <v>0</v>
      </c>
      <c r="U71" s="26">
        <f>IF(AG71="7",I71,0)</f>
        <v>0</v>
      </c>
      <c r="V71" s="26">
        <f>IF(AG71="2",H71,0)</f>
        <v>0</v>
      </c>
      <c r="W71" s="26">
        <f>IF(AG71="2",I71,0)</f>
        <v>0</v>
      </c>
      <c r="X71" s="26">
        <f>IF(AG71="0",J71,0)</f>
        <v>0</v>
      </c>
      <c r="Y71" s="19" t="s">
        <v>90</v>
      </c>
      <c r="Z71" s="14">
        <f>IF(AD71=0,J71,0)</f>
        <v>0</v>
      </c>
      <c r="AA71" s="14">
        <f>IF(AD71=15,J71,0)</f>
        <v>0</v>
      </c>
      <c r="AB71" s="14">
        <f>IF(AD71=21,J71,0)</f>
        <v>0</v>
      </c>
      <c r="AD71" s="26">
        <v>21</v>
      </c>
      <c r="AE71" s="26">
        <f>G71*0.849788998254958</f>
        <v>0</v>
      </c>
      <c r="AF71" s="26">
        <f>G71*(1-0.849788998254958)</f>
        <v>0</v>
      </c>
      <c r="AG71" s="22" t="s">
        <v>7</v>
      </c>
      <c r="AM71" s="26">
        <f>F71*AE71</f>
        <v>0</v>
      </c>
      <c r="AN71" s="26">
        <f>F71*AF71</f>
        <v>0</v>
      </c>
      <c r="AO71" s="27" t="s">
        <v>374</v>
      </c>
      <c r="AP71" s="27" t="s">
        <v>391</v>
      </c>
      <c r="AQ71" s="19" t="s">
        <v>395</v>
      </c>
      <c r="AS71" s="26">
        <f>AM71+AN71</f>
        <v>0</v>
      </c>
      <c r="AT71" s="26">
        <f>G71/(100-AU71)*100</f>
        <v>0</v>
      </c>
      <c r="AU71" s="26">
        <v>0</v>
      </c>
      <c r="AV71" s="26">
        <f>L71</f>
        <v>50.114385</v>
      </c>
    </row>
    <row r="72" spans="1:48" ht="12.75">
      <c r="A72" s="4" t="s">
        <v>34</v>
      </c>
      <c r="B72" s="4" t="s">
        <v>90</v>
      </c>
      <c r="C72" s="4" t="s">
        <v>119</v>
      </c>
      <c r="D72" s="4" t="s">
        <v>243</v>
      </c>
      <c r="E72" s="4" t="s">
        <v>327</v>
      </c>
      <c r="F72" s="14">
        <v>593.4</v>
      </c>
      <c r="G72" s="76"/>
      <c r="H72" s="14">
        <f>F72*AE72</f>
        <v>0</v>
      </c>
      <c r="I72" s="14">
        <f>J72-H72</f>
        <v>0</v>
      </c>
      <c r="J72" s="14">
        <f>F72*G72</f>
        <v>0</v>
      </c>
      <c r="K72" s="14">
        <v>0.71644</v>
      </c>
      <c r="L72" s="14">
        <f>F72*K72</f>
        <v>425.135496</v>
      </c>
      <c r="M72" s="22" t="s">
        <v>353</v>
      </c>
      <c r="P72" s="26">
        <f>IF(AG72="5",J72,0)</f>
        <v>0</v>
      </c>
      <c r="R72" s="26">
        <f>IF(AG72="1",H72,0)</f>
        <v>0</v>
      </c>
      <c r="S72" s="26">
        <f>IF(AG72="1",I72,0)</f>
        <v>0</v>
      </c>
      <c r="T72" s="26">
        <f>IF(AG72="7",H72,0)</f>
        <v>0</v>
      </c>
      <c r="U72" s="26">
        <f>IF(AG72="7",I72,0)</f>
        <v>0</v>
      </c>
      <c r="V72" s="26">
        <f>IF(AG72="2",H72,0)</f>
        <v>0</v>
      </c>
      <c r="W72" s="26">
        <f>IF(AG72="2",I72,0)</f>
        <v>0</v>
      </c>
      <c r="X72" s="26">
        <f>IF(AG72="0",J72,0)</f>
        <v>0</v>
      </c>
      <c r="Y72" s="19" t="s">
        <v>90</v>
      </c>
      <c r="Z72" s="14">
        <f>IF(AD72=0,J72,0)</f>
        <v>0</v>
      </c>
      <c r="AA72" s="14">
        <f>IF(AD72=15,J72,0)</f>
        <v>0</v>
      </c>
      <c r="AB72" s="14">
        <f>IF(AD72=21,J72,0)</f>
        <v>0</v>
      </c>
      <c r="AD72" s="26">
        <v>21</v>
      </c>
      <c r="AE72" s="26">
        <f>G72*0.812052770801678</f>
        <v>0</v>
      </c>
      <c r="AF72" s="26">
        <f>G72*(1-0.812052770801678)</f>
        <v>0</v>
      </c>
      <c r="AG72" s="22" t="s">
        <v>7</v>
      </c>
      <c r="AM72" s="26">
        <f>F72*AE72</f>
        <v>0</v>
      </c>
      <c r="AN72" s="26">
        <f>F72*AF72</f>
        <v>0</v>
      </c>
      <c r="AO72" s="27" t="s">
        <v>374</v>
      </c>
      <c r="AP72" s="27" t="s">
        <v>391</v>
      </c>
      <c r="AQ72" s="19" t="s">
        <v>395</v>
      </c>
      <c r="AS72" s="26">
        <f>AM72+AN72</f>
        <v>0</v>
      </c>
      <c r="AT72" s="26">
        <f>G72/(100-AU72)*100</f>
        <v>0</v>
      </c>
      <c r="AU72" s="26">
        <v>0</v>
      </c>
      <c r="AV72" s="26">
        <f>L72</f>
        <v>425.135496</v>
      </c>
    </row>
    <row r="73" spans="1:37" ht="12.75">
      <c r="A73" s="3"/>
      <c r="B73" s="10" t="s">
        <v>90</v>
      </c>
      <c r="C73" s="10" t="s">
        <v>64</v>
      </c>
      <c r="D73" s="10" t="s">
        <v>244</v>
      </c>
      <c r="E73" s="3" t="s">
        <v>6</v>
      </c>
      <c r="F73" s="3" t="s">
        <v>6</v>
      </c>
      <c r="G73" s="3" t="s">
        <v>6</v>
      </c>
      <c r="H73" s="28">
        <f>SUM(H74:H76)</f>
        <v>0</v>
      </c>
      <c r="I73" s="28">
        <f>SUM(I74:I76)</f>
        <v>0</v>
      </c>
      <c r="J73" s="28">
        <f>H73+I73</f>
        <v>0</v>
      </c>
      <c r="K73" s="19"/>
      <c r="L73" s="28">
        <f>SUM(L74:L76)</f>
        <v>216.522764</v>
      </c>
      <c r="M73" s="19"/>
      <c r="Y73" s="19" t="s">
        <v>90</v>
      </c>
      <c r="AI73" s="28">
        <f>SUM(Z74:Z76)</f>
        <v>0</v>
      </c>
      <c r="AJ73" s="28">
        <f>SUM(AA74:AA76)</f>
        <v>0</v>
      </c>
      <c r="AK73" s="28">
        <f>SUM(AB74:AB76)</f>
        <v>0</v>
      </c>
    </row>
    <row r="74" spans="1:48" ht="12.75">
      <c r="A74" s="4" t="s">
        <v>35</v>
      </c>
      <c r="B74" s="4" t="s">
        <v>90</v>
      </c>
      <c r="C74" s="4" t="s">
        <v>120</v>
      </c>
      <c r="D74" s="4" t="s">
        <v>245</v>
      </c>
      <c r="E74" s="4" t="s">
        <v>327</v>
      </c>
      <c r="F74" s="14">
        <v>389.6</v>
      </c>
      <c r="G74" s="76"/>
      <c r="H74" s="14">
        <f>F74*AE74</f>
        <v>0</v>
      </c>
      <c r="I74" s="14">
        <f>J74-H74</f>
        <v>0</v>
      </c>
      <c r="J74" s="14">
        <f>F74*G74</f>
        <v>0</v>
      </c>
      <c r="K74" s="14">
        <v>0.54409</v>
      </c>
      <c r="L74" s="14">
        <f>F74*K74</f>
        <v>211.977464</v>
      </c>
      <c r="M74" s="22" t="s">
        <v>353</v>
      </c>
      <c r="P74" s="26">
        <f>IF(AG74="5",J74,0)</f>
        <v>0</v>
      </c>
      <c r="R74" s="26">
        <f>IF(AG74="1",H74,0)</f>
        <v>0</v>
      </c>
      <c r="S74" s="26">
        <f>IF(AG74="1",I74,0)</f>
        <v>0</v>
      </c>
      <c r="T74" s="26">
        <f>IF(AG74="7",H74,0)</f>
        <v>0</v>
      </c>
      <c r="U74" s="26">
        <f>IF(AG74="7",I74,0)</f>
        <v>0</v>
      </c>
      <c r="V74" s="26">
        <f>IF(AG74="2",H74,0)</f>
        <v>0</v>
      </c>
      <c r="W74" s="26">
        <f>IF(AG74="2",I74,0)</f>
        <v>0</v>
      </c>
      <c r="X74" s="26">
        <f>IF(AG74="0",J74,0)</f>
        <v>0</v>
      </c>
      <c r="Y74" s="19" t="s">
        <v>90</v>
      </c>
      <c r="Z74" s="14">
        <f>IF(AD74=0,J74,0)</f>
        <v>0</v>
      </c>
      <c r="AA74" s="14">
        <f>IF(AD74=15,J74,0)</f>
        <v>0</v>
      </c>
      <c r="AB74" s="14">
        <f>IF(AD74=21,J74,0)</f>
        <v>0</v>
      </c>
      <c r="AD74" s="26">
        <v>21</v>
      </c>
      <c r="AE74" s="26">
        <f>G74*0.950614934114202</f>
        <v>0</v>
      </c>
      <c r="AF74" s="26">
        <f>G74*(1-0.950614934114202)</f>
        <v>0</v>
      </c>
      <c r="AG74" s="22" t="s">
        <v>7</v>
      </c>
      <c r="AM74" s="26">
        <f>F74*AE74</f>
        <v>0</v>
      </c>
      <c r="AN74" s="26">
        <f>F74*AF74</f>
        <v>0</v>
      </c>
      <c r="AO74" s="27" t="s">
        <v>375</v>
      </c>
      <c r="AP74" s="27" t="s">
        <v>391</v>
      </c>
      <c r="AQ74" s="19" t="s">
        <v>395</v>
      </c>
      <c r="AS74" s="26">
        <f>AM74+AN74</f>
        <v>0</v>
      </c>
      <c r="AT74" s="26">
        <f>G74/(100-AU74)*100</f>
        <v>0</v>
      </c>
      <c r="AU74" s="26">
        <v>0</v>
      </c>
      <c r="AV74" s="26">
        <f>L74</f>
        <v>211.977464</v>
      </c>
    </row>
    <row r="75" spans="4:6" ht="12.75">
      <c r="D75" s="11" t="s">
        <v>246</v>
      </c>
      <c r="F75" s="15">
        <v>389.6</v>
      </c>
    </row>
    <row r="76" spans="1:48" ht="12.75">
      <c r="A76" s="4" t="s">
        <v>36</v>
      </c>
      <c r="B76" s="4" t="s">
        <v>90</v>
      </c>
      <c r="C76" s="4" t="s">
        <v>121</v>
      </c>
      <c r="D76" s="4" t="s">
        <v>247</v>
      </c>
      <c r="E76" s="4" t="s">
        <v>327</v>
      </c>
      <c r="F76" s="14">
        <v>15</v>
      </c>
      <c r="G76" s="76"/>
      <c r="H76" s="14">
        <f>F76*AE76</f>
        <v>0</v>
      </c>
      <c r="I76" s="14">
        <f>J76-H76</f>
        <v>0</v>
      </c>
      <c r="J76" s="14">
        <f>F76*G76</f>
        <v>0</v>
      </c>
      <c r="K76" s="14">
        <v>0.30302</v>
      </c>
      <c r="L76" s="14">
        <f>F76*K76</f>
        <v>4.5453</v>
      </c>
      <c r="M76" s="22" t="s">
        <v>353</v>
      </c>
      <c r="P76" s="26">
        <f>IF(AG76="5",J76,0)</f>
        <v>0</v>
      </c>
      <c r="R76" s="26">
        <f>IF(AG76="1",H76,0)</f>
        <v>0</v>
      </c>
      <c r="S76" s="26">
        <f>IF(AG76="1",I76,0)</f>
        <v>0</v>
      </c>
      <c r="T76" s="26">
        <f>IF(AG76="7",H76,0)</f>
        <v>0</v>
      </c>
      <c r="U76" s="26">
        <f>IF(AG76="7",I76,0)</f>
        <v>0</v>
      </c>
      <c r="V76" s="26">
        <f>IF(AG76="2",H76,0)</f>
        <v>0</v>
      </c>
      <c r="W76" s="26">
        <f>IF(AG76="2",I76,0)</f>
        <v>0</v>
      </c>
      <c r="X76" s="26">
        <f>IF(AG76="0",J76,0)</f>
        <v>0</v>
      </c>
      <c r="Y76" s="19" t="s">
        <v>90</v>
      </c>
      <c r="Z76" s="14">
        <f>IF(AD76=0,J76,0)</f>
        <v>0</v>
      </c>
      <c r="AA76" s="14">
        <f>IF(AD76=15,J76,0)</f>
        <v>0</v>
      </c>
      <c r="AB76" s="14">
        <f>IF(AD76=21,J76,0)</f>
        <v>0</v>
      </c>
      <c r="AD76" s="26">
        <v>21</v>
      </c>
      <c r="AE76" s="26">
        <f>G76*0.681415129969293</f>
        <v>0</v>
      </c>
      <c r="AF76" s="26">
        <f>G76*(1-0.681415129969293)</f>
        <v>0</v>
      </c>
      <c r="AG76" s="22" t="s">
        <v>7</v>
      </c>
      <c r="AM76" s="26">
        <f>F76*AE76</f>
        <v>0</v>
      </c>
      <c r="AN76" s="26">
        <f>F76*AF76</f>
        <v>0</v>
      </c>
      <c r="AO76" s="27" t="s">
        <v>375</v>
      </c>
      <c r="AP76" s="27" t="s">
        <v>391</v>
      </c>
      <c r="AQ76" s="19" t="s">
        <v>395</v>
      </c>
      <c r="AS76" s="26">
        <f>AM76+AN76</f>
        <v>0</v>
      </c>
      <c r="AT76" s="26">
        <f>G76/(100-AU76)*100</f>
        <v>0</v>
      </c>
      <c r="AU76" s="26">
        <v>0</v>
      </c>
      <c r="AV76" s="26">
        <f>L76</f>
        <v>4.5453</v>
      </c>
    </row>
    <row r="77" spans="4:6" ht="12.75">
      <c r="D77" s="11" t="s">
        <v>21</v>
      </c>
      <c r="F77" s="15">
        <v>15</v>
      </c>
    </row>
    <row r="78" spans="1:37" ht="12.75">
      <c r="A78" s="67"/>
      <c r="B78" s="68" t="s">
        <v>90</v>
      </c>
      <c r="C78" s="68" t="s">
        <v>65</v>
      </c>
      <c r="D78" s="68" t="s">
        <v>248</v>
      </c>
      <c r="E78" s="67" t="s">
        <v>6</v>
      </c>
      <c r="F78" s="67" t="s">
        <v>6</v>
      </c>
      <c r="G78" s="67" t="s">
        <v>6</v>
      </c>
      <c r="H78" s="69">
        <f>SUM(H79:H91)</f>
        <v>0</v>
      </c>
      <c r="I78" s="69">
        <f>SUM(I79:I91)</f>
        <v>0</v>
      </c>
      <c r="J78" s="69">
        <f>H78+I78</f>
        <v>0</v>
      </c>
      <c r="K78" s="70"/>
      <c r="L78" s="69">
        <f>SUM(L79:L91)</f>
        <v>101.50164299999999</v>
      </c>
      <c r="M78" s="70"/>
      <c r="Y78" s="19" t="s">
        <v>90</v>
      </c>
      <c r="AI78" s="28">
        <f>SUM(Z79:Z91)</f>
        <v>0</v>
      </c>
      <c r="AJ78" s="28">
        <f>SUM(AA79:AA91)</f>
        <v>0</v>
      </c>
      <c r="AK78" s="28">
        <f>SUM(AB79:AB91)</f>
        <v>0</v>
      </c>
    </row>
    <row r="79" spans="1:48" ht="12.75">
      <c r="A79" s="12" t="s">
        <v>37</v>
      </c>
      <c r="B79" s="12" t="s">
        <v>90</v>
      </c>
      <c r="C79" s="12" t="s">
        <v>122</v>
      </c>
      <c r="D79" s="12" t="s">
        <v>249</v>
      </c>
      <c r="E79" s="12" t="s">
        <v>327</v>
      </c>
      <c r="F79" s="26">
        <v>257.52</v>
      </c>
      <c r="G79" s="75"/>
      <c r="H79" s="26">
        <f>F79*AE79</f>
        <v>0</v>
      </c>
      <c r="I79" s="26">
        <f>J79-H79</f>
        <v>0</v>
      </c>
      <c r="J79" s="26">
        <f>F79*G79</f>
        <v>0</v>
      </c>
      <c r="K79" s="26">
        <v>0.0739</v>
      </c>
      <c r="L79" s="26">
        <f>F79*K79</f>
        <v>19.030727999999996</v>
      </c>
      <c r="M79" s="27" t="s">
        <v>353</v>
      </c>
      <c r="P79" s="26">
        <f>IF(AG79="5",J79,0)</f>
        <v>0</v>
      </c>
      <c r="R79" s="26">
        <f>IF(AG79="1",H79,0)</f>
        <v>0</v>
      </c>
      <c r="S79" s="26">
        <f>IF(AG79="1",I79,0)</f>
        <v>0</v>
      </c>
      <c r="T79" s="26">
        <f>IF(AG79="7",H79,0)</f>
        <v>0</v>
      </c>
      <c r="U79" s="26">
        <f>IF(AG79="7",I79,0)</f>
        <v>0</v>
      </c>
      <c r="V79" s="26">
        <f>IF(AG79="2",H79,0)</f>
        <v>0</v>
      </c>
      <c r="W79" s="26">
        <f>IF(AG79="2",I79,0)</f>
        <v>0</v>
      </c>
      <c r="X79" s="26">
        <f>IF(AG79="0",J79,0)</f>
        <v>0</v>
      </c>
      <c r="Y79" s="19" t="s">
        <v>90</v>
      </c>
      <c r="Z79" s="14">
        <f>IF(AD79=0,J79,0)</f>
        <v>0</v>
      </c>
      <c r="AA79" s="14">
        <f>IF(AD79=15,J79,0)</f>
        <v>0</v>
      </c>
      <c r="AB79" s="14">
        <f>IF(AD79=21,J79,0)</f>
        <v>0</v>
      </c>
      <c r="AD79" s="26">
        <v>21</v>
      </c>
      <c r="AE79" s="26">
        <f>G79*0.162172436166559</f>
        <v>0</v>
      </c>
      <c r="AF79" s="26">
        <f>G79*(1-0.162172436166559)</f>
        <v>0</v>
      </c>
      <c r="AG79" s="22" t="s">
        <v>7</v>
      </c>
      <c r="AM79" s="26">
        <f>F79*AE79</f>
        <v>0</v>
      </c>
      <c r="AN79" s="26">
        <f>F79*AF79</f>
        <v>0</v>
      </c>
      <c r="AO79" s="27" t="s">
        <v>376</v>
      </c>
      <c r="AP79" s="27" t="s">
        <v>391</v>
      </c>
      <c r="AQ79" s="19" t="s">
        <v>395</v>
      </c>
      <c r="AS79" s="26">
        <f>AM79+AN79</f>
        <v>0</v>
      </c>
      <c r="AT79" s="26">
        <f>G79/(100-AU79)*100</f>
        <v>0</v>
      </c>
      <c r="AU79" s="26">
        <v>0</v>
      </c>
      <c r="AV79" s="26">
        <f>L79</f>
        <v>19.030727999999996</v>
      </c>
    </row>
    <row r="80" spans="1:13" ht="12.75">
      <c r="A80" s="71"/>
      <c r="B80" s="71"/>
      <c r="C80" s="71"/>
      <c r="D80" s="72" t="s">
        <v>250</v>
      </c>
      <c r="E80" s="71"/>
      <c r="F80" s="73">
        <v>163.5</v>
      </c>
      <c r="G80" s="71"/>
      <c r="H80" s="71"/>
      <c r="I80" s="71"/>
      <c r="J80" s="71"/>
      <c r="K80" s="71"/>
      <c r="L80" s="71"/>
      <c r="M80" s="71"/>
    </row>
    <row r="81" spans="1:13" ht="12.75">
      <c r="A81" s="71"/>
      <c r="B81" s="71"/>
      <c r="C81" s="71"/>
      <c r="D81" s="72" t="s">
        <v>221</v>
      </c>
      <c r="E81" s="71"/>
      <c r="F81" s="73">
        <v>79.22</v>
      </c>
      <c r="G81" s="71"/>
      <c r="H81" s="71"/>
      <c r="I81" s="71"/>
      <c r="J81" s="71"/>
      <c r="K81" s="71"/>
      <c r="L81" s="71"/>
      <c r="M81" s="71"/>
    </row>
    <row r="82" spans="1:13" ht="12.75">
      <c r="A82" s="71"/>
      <c r="B82" s="71"/>
      <c r="C82" s="71"/>
      <c r="D82" s="72" t="s">
        <v>251</v>
      </c>
      <c r="E82" s="71"/>
      <c r="F82" s="73">
        <v>14.8</v>
      </c>
      <c r="G82" s="71"/>
      <c r="H82" s="71"/>
      <c r="I82" s="71"/>
      <c r="J82" s="71"/>
      <c r="K82" s="71"/>
      <c r="L82" s="71"/>
      <c r="M82" s="71"/>
    </row>
    <row r="83" spans="1:48" ht="12.75">
      <c r="A83" s="5" t="s">
        <v>38</v>
      </c>
      <c r="B83" s="5" t="s">
        <v>90</v>
      </c>
      <c r="C83" s="5" t="s">
        <v>123</v>
      </c>
      <c r="D83" s="5" t="s">
        <v>252</v>
      </c>
      <c r="E83" s="5" t="s">
        <v>327</v>
      </c>
      <c r="F83" s="16">
        <v>242.72</v>
      </c>
      <c r="G83" s="77"/>
      <c r="H83" s="16">
        <f>F83*AE83</f>
        <v>0</v>
      </c>
      <c r="I83" s="16">
        <f>J83-H83</f>
        <v>0</v>
      </c>
      <c r="J83" s="16">
        <f>F83*G83</f>
        <v>0</v>
      </c>
      <c r="K83" s="16">
        <v>0.152</v>
      </c>
      <c r="L83" s="16">
        <f>F83*K83</f>
        <v>36.89344</v>
      </c>
      <c r="M83" s="23" t="s">
        <v>353</v>
      </c>
      <c r="P83" s="26">
        <f>IF(AG83="5",J83,0)</f>
        <v>0</v>
      </c>
      <c r="R83" s="26">
        <f>IF(AG83="1",H83,0)</f>
        <v>0</v>
      </c>
      <c r="S83" s="26">
        <f>IF(AG83="1",I83,0)</f>
        <v>0</v>
      </c>
      <c r="T83" s="26">
        <f>IF(AG83="7",H83,0)</f>
        <v>0</v>
      </c>
      <c r="U83" s="26">
        <f>IF(AG83="7",I83,0)</f>
        <v>0</v>
      </c>
      <c r="V83" s="26">
        <f>IF(AG83="2",H83,0)</f>
        <v>0</v>
      </c>
      <c r="W83" s="26">
        <f>IF(AG83="2",I83,0)</f>
        <v>0</v>
      </c>
      <c r="X83" s="26">
        <f>IF(AG83="0",J83,0)</f>
        <v>0</v>
      </c>
      <c r="Y83" s="19" t="s">
        <v>90</v>
      </c>
      <c r="Z83" s="16">
        <f>IF(AD83=0,J83,0)</f>
        <v>0</v>
      </c>
      <c r="AA83" s="16">
        <f>IF(AD83=15,J83,0)</f>
        <v>0</v>
      </c>
      <c r="AB83" s="16">
        <f>IF(AD83=21,J83,0)</f>
        <v>0</v>
      </c>
      <c r="AD83" s="26">
        <v>21</v>
      </c>
      <c r="AE83" s="26">
        <f>G83*1</f>
        <v>0</v>
      </c>
      <c r="AF83" s="26">
        <f>G83*(1-1)</f>
        <v>0</v>
      </c>
      <c r="AG83" s="23" t="s">
        <v>7</v>
      </c>
      <c r="AM83" s="26">
        <f>F83*AE83</f>
        <v>0</v>
      </c>
      <c r="AN83" s="26">
        <f>F83*AF83</f>
        <v>0</v>
      </c>
      <c r="AO83" s="27" t="s">
        <v>376</v>
      </c>
      <c r="AP83" s="27" t="s">
        <v>391</v>
      </c>
      <c r="AQ83" s="19" t="s">
        <v>395</v>
      </c>
      <c r="AS83" s="26">
        <f>AM83+AN83</f>
        <v>0</v>
      </c>
      <c r="AT83" s="26">
        <f>G83/(100-AU83)*100</f>
        <v>0</v>
      </c>
      <c r="AU83" s="26">
        <v>0</v>
      </c>
      <c r="AV83" s="26">
        <f>L83</f>
        <v>36.89344</v>
      </c>
    </row>
    <row r="84" spans="4:6" ht="12.75">
      <c r="D84" s="11" t="s">
        <v>250</v>
      </c>
      <c r="F84" s="15">
        <v>163.5</v>
      </c>
    </row>
    <row r="85" spans="4:6" ht="12.75">
      <c r="D85" s="11" t="s">
        <v>221</v>
      </c>
      <c r="F85" s="15">
        <v>79.22</v>
      </c>
    </row>
    <row r="86" spans="1:48" ht="12.75">
      <c r="A86" s="12" t="s">
        <v>39</v>
      </c>
      <c r="B86" s="12" t="s">
        <v>90</v>
      </c>
      <c r="C86" s="12" t="s">
        <v>124</v>
      </c>
      <c r="D86" s="12" t="s">
        <v>253</v>
      </c>
      <c r="E86" s="12" t="s">
        <v>327</v>
      </c>
      <c r="F86" s="26">
        <v>14.8</v>
      </c>
      <c r="G86" s="75"/>
      <c r="H86" s="26">
        <f>F86*AE86</f>
        <v>0</v>
      </c>
      <c r="I86" s="26">
        <f>J86-H86</f>
        <v>0</v>
      </c>
      <c r="J86" s="26">
        <f>F86*G86</f>
        <v>0</v>
      </c>
      <c r="K86" s="26">
        <v>0.176</v>
      </c>
      <c r="L86" s="26">
        <f>F86*K86</f>
        <v>2.6048</v>
      </c>
      <c r="M86" s="27" t="s">
        <v>353</v>
      </c>
      <c r="P86" s="26">
        <f>IF(AG86="5",J86,0)</f>
        <v>0</v>
      </c>
      <c r="R86" s="26">
        <f>IF(AG86="1",H86,0)</f>
        <v>0</v>
      </c>
      <c r="S86" s="26">
        <f>IF(AG86="1",I86,0)</f>
        <v>0</v>
      </c>
      <c r="T86" s="26">
        <f>IF(AG86="7",H86,0)</f>
        <v>0</v>
      </c>
      <c r="U86" s="26">
        <f>IF(AG86="7",I86,0)</f>
        <v>0</v>
      </c>
      <c r="V86" s="26">
        <f>IF(AG86="2",H86,0)</f>
        <v>0</v>
      </c>
      <c r="W86" s="26">
        <f>IF(AG86="2",I86,0)</f>
        <v>0</v>
      </c>
      <c r="X86" s="26">
        <f>IF(AG86="0",J86,0)</f>
        <v>0</v>
      </c>
      <c r="Y86" s="19" t="s">
        <v>90</v>
      </c>
      <c r="Z86" s="16">
        <f>IF(AD86=0,J86,0)</f>
        <v>0</v>
      </c>
      <c r="AA86" s="16">
        <f>IF(AD86=15,J86,0)</f>
        <v>0</v>
      </c>
      <c r="AB86" s="16">
        <f>IF(AD86=21,J86,0)</f>
        <v>0</v>
      </c>
      <c r="AD86" s="26">
        <v>21</v>
      </c>
      <c r="AE86" s="26">
        <f>G86*1</f>
        <v>0</v>
      </c>
      <c r="AF86" s="26">
        <f>G86*(1-1)</f>
        <v>0</v>
      </c>
      <c r="AG86" s="23" t="s">
        <v>7</v>
      </c>
      <c r="AM86" s="26">
        <f>F86*AE86</f>
        <v>0</v>
      </c>
      <c r="AN86" s="26">
        <f>F86*AF86</f>
        <v>0</v>
      </c>
      <c r="AO86" s="27" t="s">
        <v>376</v>
      </c>
      <c r="AP86" s="27" t="s">
        <v>391</v>
      </c>
      <c r="AQ86" s="19" t="s">
        <v>395</v>
      </c>
      <c r="AS86" s="26">
        <f>AM86+AN86</f>
        <v>0</v>
      </c>
      <c r="AT86" s="26">
        <f>G86/(100-AU86)*100</f>
        <v>0</v>
      </c>
      <c r="AU86" s="26">
        <v>0</v>
      </c>
      <c r="AV86" s="26">
        <f>L86</f>
        <v>2.6048</v>
      </c>
    </row>
    <row r="87" spans="1:13" ht="12.75">
      <c r="A87" s="71"/>
      <c r="B87" s="71"/>
      <c r="C87" s="71"/>
      <c r="D87" s="72" t="s">
        <v>254</v>
      </c>
      <c r="E87" s="71"/>
      <c r="F87" s="73">
        <v>14.8</v>
      </c>
      <c r="G87" s="71"/>
      <c r="H87" s="71"/>
      <c r="I87" s="71"/>
      <c r="J87" s="71"/>
      <c r="K87" s="71"/>
      <c r="L87" s="71"/>
      <c r="M87" s="71"/>
    </row>
    <row r="88" spans="1:48" ht="12.75">
      <c r="A88" s="4" t="s">
        <v>40</v>
      </c>
      <c r="B88" s="4" t="s">
        <v>90</v>
      </c>
      <c r="C88" s="4" t="s">
        <v>125</v>
      </c>
      <c r="D88" s="4" t="s">
        <v>255</v>
      </c>
      <c r="E88" s="4" t="s">
        <v>327</v>
      </c>
      <c r="F88" s="14">
        <v>121.15</v>
      </c>
      <c r="G88" s="76"/>
      <c r="H88" s="14">
        <f>F88*AE88</f>
        <v>0</v>
      </c>
      <c r="I88" s="14">
        <f>J88-H88</f>
        <v>0</v>
      </c>
      <c r="J88" s="14">
        <f>F88*G88</f>
        <v>0</v>
      </c>
      <c r="K88" s="14">
        <v>0.0739</v>
      </c>
      <c r="L88" s="14">
        <f>F88*K88</f>
        <v>8.952985</v>
      </c>
      <c r="M88" s="22" t="s">
        <v>353</v>
      </c>
      <c r="P88" s="26">
        <f>IF(AG88="5",J88,0)</f>
        <v>0</v>
      </c>
      <c r="R88" s="26">
        <f>IF(AG88="1",H88,0)</f>
        <v>0</v>
      </c>
      <c r="S88" s="26">
        <f>IF(AG88="1",I88,0)</f>
        <v>0</v>
      </c>
      <c r="T88" s="26">
        <f>IF(AG88="7",H88,0)</f>
        <v>0</v>
      </c>
      <c r="U88" s="26">
        <f>IF(AG88="7",I88,0)</f>
        <v>0</v>
      </c>
      <c r="V88" s="26">
        <f>IF(AG88="2",H88,0)</f>
        <v>0</v>
      </c>
      <c r="W88" s="26">
        <f>IF(AG88="2",I88,0)</f>
        <v>0</v>
      </c>
      <c r="X88" s="26">
        <f>IF(AG88="0",J88,0)</f>
        <v>0</v>
      </c>
      <c r="Y88" s="19" t="s">
        <v>90</v>
      </c>
      <c r="Z88" s="14">
        <f>IF(AD88=0,J88,0)</f>
        <v>0</v>
      </c>
      <c r="AA88" s="14">
        <f>IF(AD88=15,J88,0)</f>
        <v>0</v>
      </c>
      <c r="AB88" s="14">
        <f>IF(AD88=21,J88,0)</f>
        <v>0</v>
      </c>
      <c r="AD88" s="26">
        <v>21</v>
      </c>
      <c r="AE88" s="26">
        <f>G88*0.170561639566848</f>
        <v>0</v>
      </c>
      <c r="AF88" s="26">
        <f>G88*(1-0.170561639566848)</f>
        <v>0</v>
      </c>
      <c r="AG88" s="22" t="s">
        <v>7</v>
      </c>
      <c r="AM88" s="26">
        <f>F88*AE88</f>
        <v>0</v>
      </c>
      <c r="AN88" s="26">
        <f>F88*AF88</f>
        <v>0</v>
      </c>
      <c r="AO88" s="27" t="s">
        <v>376</v>
      </c>
      <c r="AP88" s="27" t="s">
        <v>391</v>
      </c>
      <c r="AQ88" s="19" t="s">
        <v>395</v>
      </c>
      <c r="AS88" s="26">
        <f>AM88+AN88</f>
        <v>0</v>
      </c>
      <c r="AT88" s="26">
        <f>G88/(100-AU88)*100</f>
        <v>0</v>
      </c>
      <c r="AU88" s="26">
        <v>0</v>
      </c>
      <c r="AV88" s="26">
        <f>L88</f>
        <v>8.952985</v>
      </c>
    </row>
    <row r="89" spans="4:6" ht="12.75">
      <c r="D89" s="11" t="s">
        <v>256</v>
      </c>
      <c r="F89" s="15">
        <v>121.15</v>
      </c>
    </row>
    <row r="90" spans="1:48" ht="12.75">
      <c r="A90" s="5" t="s">
        <v>41</v>
      </c>
      <c r="B90" s="5" t="s">
        <v>90</v>
      </c>
      <c r="C90" s="5" t="s">
        <v>126</v>
      </c>
      <c r="D90" s="5" t="s">
        <v>257</v>
      </c>
      <c r="E90" s="5" t="s">
        <v>327</v>
      </c>
      <c r="F90" s="16">
        <v>121.15</v>
      </c>
      <c r="G90" s="77"/>
      <c r="H90" s="16">
        <f>F90*AE90</f>
        <v>0</v>
      </c>
      <c r="I90" s="16">
        <f>J90-H90</f>
        <v>0</v>
      </c>
      <c r="J90" s="16">
        <f>F90*G90</f>
        <v>0</v>
      </c>
      <c r="K90" s="16">
        <v>0.131</v>
      </c>
      <c r="L90" s="16">
        <f>F90*K90</f>
        <v>15.870650000000001</v>
      </c>
      <c r="M90" s="23" t="s">
        <v>353</v>
      </c>
      <c r="P90" s="26">
        <f>IF(AG90="5",J90,0)</f>
        <v>0</v>
      </c>
      <c r="R90" s="26">
        <f>IF(AG90="1",H90,0)</f>
        <v>0</v>
      </c>
      <c r="S90" s="26">
        <f>IF(AG90="1",I90,0)</f>
        <v>0</v>
      </c>
      <c r="T90" s="26">
        <f>IF(AG90="7",H90,0)</f>
        <v>0</v>
      </c>
      <c r="U90" s="26">
        <f>IF(AG90="7",I90,0)</f>
        <v>0</v>
      </c>
      <c r="V90" s="26">
        <f>IF(AG90="2",H90,0)</f>
        <v>0</v>
      </c>
      <c r="W90" s="26">
        <f>IF(AG90="2",I90,0)</f>
        <v>0</v>
      </c>
      <c r="X90" s="26">
        <f>IF(AG90="0",J90,0)</f>
        <v>0</v>
      </c>
      <c r="Y90" s="19" t="s">
        <v>90</v>
      </c>
      <c r="Z90" s="16">
        <f>IF(AD90=0,J90,0)</f>
        <v>0</v>
      </c>
      <c r="AA90" s="16">
        <f>IF(AD90=15,J90,0)</f>
        <v>0</v>
      </c>
      <c r="AB90" s="16">
        <f>IF(AD90=21,J90,0)</f>
        <v>0</v>
      </c>
      <c r="AD90" s="26">
        <v>21</v>
      </c>
      <c r="AE90" s="26">
        <f>G90*1</f>
        <v>0</v>
      </c>
      <c r="AF90" s="26">
        <f>G90*(1-1)</f>
        <v>0</v>
      </c>
      <c r="AG90" s="23" t="s">
        <v>7</v>
      </c>
      <c r="AM90" s="26">
        <f>F90*AE90</f>
        <v>0</v>
      </c>
      <c r="AN90" s="26">
        <f>F90*AF90</f>
        <v>0</v>
      </c>
      <c r="AO90" s="27" t="s">
        <v>376</v>
      </c>
      <c r="AP90" s="27" t="s">
        <v>391</v>
      </c>
      <c r="AQ90" s="19" t="s">
        <v>395</v>
      </c>
      <c r="AS90" s="26">
        <f>AM90+AN90</f>
        <v>0</v>
      </c>
      <c r="AT90" s="26">
        <f>G90/(100-AU90)*100</f>
        <v>0</v>
      </c>
      <c r="AU90" s="26">
        <v>0</v>
      </c>
      <c r="AV90" s="26">
        <f>L90</f>
        <v>15.870650000000001</v>
      </c>
    </row>
    <row r="91" spans="1:48" ht="12.75">
      <c r="A91" s="4" t="s">
        <v>42</v>
      </c>
      <c r="B91" s="4" t="s">
        <v>90</v>
      </c>
      <c r="C91" s="4" t="s">
        <v>127</v>
      </c>
      <c r="D91" s="4" t="s">
        <v>258</v>
      </c>
      <c r="E91" s="4" t="s">
        <v>328</v>
      </c>
      <c r="F91" s="14">
        <v>72</v>
      </c>
      <c r="G91" s="76"/>
      <c r="H91" s="14">
        <f>F91*AE91</f>
        <v>0</v>
      </c>
      <c r="I91" s="14">
        <f>J91-H91</f>
        <v>0</v>
      </c>
      <c r="J91" s="14">
        <f>F91*G91</f>
        <v>0</v>
      </c>
      <c r="K91" s="14">
        <v>0.25207</v>
      </c>
      <c r="L91" s="14">
        <f>F91*K91</f>
        <v>18.14904</v>
      </c>
      <c r="M91" s="22" t="s">
        <v>353</v>
      </c>
      <c r="P91" s="26">
        <f>IF(AG91="5",J91,0)</f>
        <v>0</v>
      </c>
      <c r="R91" s="26">
        <f>IF(AG91="1",H91,0)</f>
        <v>0</v>
      </c>
      <c r="S91" s="26">
        <f>IF(AG91="1",I91,0)</f>
        <v>0</v>
      </c>
      <c r="T91" s="26">
        <f>IF(AG91="7",H91,0)</f>
        <v>0</v>
      </c>
      <c r="U91" s="26">
        <f>IF(AG91="7",I91,0)</f>
        <v>0</v>
      </c>
      <c r="V91" s="26">
        <f>IF(AG91="2",H91,0)</f>
        <v>0</v>
      </c>
      <c r="W91" s="26">
        <f>IF(AG91="2",I91,0)</f>
        <v>0</v>
      </c>
      <c r="X91" s="26">
        <f>IF(AG91="0",J91,0)</f>
        <v>0</v>
      </c>
      <c r="Y91" s="19" t="s">
        <v>90</v>
      </c>
      <c r="Z91" s="14">
        <f>IF(AD91=0,J91,0)</f>
        <v>0</v>
      </c>
      <c r="AA91" s="14">
        <f>IF(AD91=15,J91,0)</f>
        <v>0</v>
      </c>
      <c r="AB91" s="14">
        <f>IF(AD91=21,J91,0)</f>
        <v>0</v>
      </c>
      <c r="AD91" s="26">
        <v>21</v>
      </c>
      <c r="AE91" s="26">
        <f>G91*0.521405295315682</f>
        <v>0</v>
      </c>
      <c r="AF91" s="26">
        <f>G91*(1-0.521405295315682)</f>
        <v>0</v>
      </c>
      <c r="AG91" s="22" t="s">
        <v>7</v>
      </c>
      <c r="AM91" s="26">
        <f>F91*AE91</f>
        <v>0</v>
      </c>
      <c r="AN91" s="26">
        <f>F91*AF91</f>
        <v>0</v>
      </c>
      <c r="AO91" s="27" t="s">
        <v>376</v>
      </c>
      <c r="AP91" s="27" t="s">
        <v>391</v>
      </c>
      <c r="AQ91" s="19" t="s">
        <v>395</v>
      </c>
      <c r="AS91" s="26">
        <f>AM91+AN91</f>
        <v>0</v>
      </c>
      <c r="AT91" s="26">
        <f>G91/(100-AU91)*100</f>
        <v>0</v>
      </c>
      <c r="AU91" s="26">
        <v>0</v>
      </c>
      <c r="AV91" s="26">
        <f>L91</f>
        <v>18.14904</v>
      </c>
    </row>
    <row r="92" spans="1:37" ht="12.75">
      <c r="A92" s="3"/>
      <c r="B92" s="10" t="s">
        <v>90</v>
      </c>
      <c r="C92" s="10" t="s">
        <v>128</v>
      </c>
      <c r="D92" s="10" t="s">
        <v>259</v>
      </c>
      <c r="E92" s="3" t="s">
        <v>6</v>
      </c>
      <c r="F92" s="3" t="s">
        <v>6</v>
      </c>
      <c r="G92" s="3" t="s">
        <v>6</v>
      </c>
      <c r="H92" s="28">
        <f>SUM(H93:H94)</f>
        <v>0</v>
      </c>
      <c r="I92" s="28">
        <f>SUM(I93:I94)</f>
        <v>0</v>
      </c>
      <c r="J92" s="28">
        <f>H92+I92</f>
        <v>0</v>
      </c>
      <c r="K92" s="19"/>
      <c r="L92" s="28">
        <f>SUM(L93:L94)</f>
        <v>0.14445</v>
      </c>
      <c r="M92" s="19"/>
      <c r="Y92" s="19" t="s">
        <v>90</v>
      </c>
      <c r="AI92" s="28">
        <f>SUM(Z93:Z94)</f>
        <v>0</v>
      </c>
      <c r="AJ92" s="28">
        <f>SUM(AA93:AA94)</f>
        <v>0</v>
      </c>
      <c r="AK92" s="28">
        <f>SUM(AB93:AB94)</f>
        <v>0</v>
      </c>
    </row>
    <row r="93" spans="1:48" ht="12.75">
      <c r="A93" s="12" t="s">
        <v>43</v>
      </c>
      <c r="B93" s="12" t="s">
        <v>90</v>
      </c>
      <c r="C93" s="12" t="s">
        <v>129</v>
      </c>
      <c r="D93" s="12" t="s">
        <v>448</v>
      </c>
      <c r="E93" s="12" t="s">
        <v>328</v>
      </c>
      <c r="F93" s="26">
        <v>45</v>
      </c>
      <c r="G93" s="75"/>
      <c r="H93" s="26">
        <f>F93*AE93</f>
        <v>0</v>
      </c>
      <c r="I93" s="26">
        <f>J93-H93</f>
        <v>0</v>
      </c>
      <c r="J93" s="26">
        <f>F93*G93</f>
        <v>0</v>
      </c>
      <c r="K93" s="26">
        <v>0</v>
      </c>
      <c r="L93" s="26">
        <f>F93*K93</f>
        <v>0</v>
      </c>
      <c r="M93" s="27" t="s">
        <v>353</v>
      </c>
      <c r="P93" s="26">
        <f>IF(AG93="5",J93,0)</f>
        <v>0</v>
      </c>
      <c r="R93" s="26">
        <f>IF(AG93="1",H93,0)</f>
        <v>0</v>
      </c>
      <c r="S93" s="26">
        <f>IF(AG93="1",I93,0)</f>
        <v>0</v>
      </c>
      <c r="T93" s="26">
        <f>IF(AG93="7",H93,0)</f>
        <v>0</v>
      </c>
      <c r="U93" s="26">
        <f>IF(AG93="7",I93,0)</f>
        <v>0</v>
      </c>
      <c r="V93" s="26">
        <f>IF(AG93="2",H93,0)</f>
        <v>0</v>
      </c>
      <c r="W93" s="26">
        <f>IF(AG93="2",I93,0)</f>
        <v>0</v>
      </c>
      <c r="X93" s="26">
        <f>IF(AG93="0",J93,0)</f>
        <v>0</v>
      </c>
      <c r="Y93" s="19" t="s">
        <v>90</v>
      </c>
      <c r="Z93" s="14">
        <f>IF(AD93=0,J93,0)</f>
        <v>0</v>
      </c>
      <c r="AA93" s="14">
        <f>IF(AD93=15,J93,0)</f>
        <v>0</v>
      </c>
      <c r="AB93" s="14">
        <f>IF(AD93=21,J93,0)</f>
        <v>0</v>
      </c>
      <c r="AD93" s="26">
        <v>21</v>
      </c>
      <c r="AE93" s="26">
        <f>G93*0.0053941908713693</f>
        <v>0</v>
      </c>
      <c r="AF93" s="26">
        <f>G93*(1-0.0053941908713693)</f>
        <v>0</v>
      </c>
      <c r="AG93" s="22" t="s">
        <v>7</v>
      </c>
      <c r="AM93" s="26">
        <f>F93*AE93</f>
        <v>0</v>
      </c>
      <c r="AN93" s="26">
        <f>F93*AF93</f>
        <v>0</v>
      </c>
      <c r="AO93" s="27" t="s">
        <v>377</v>
      </c>
      <c r="AP93" s="27" t="s">
        <v>392</v>
      </c>
      <c r="AQ93" s="19" t="s">
        <v>395</v>
      </c>
      <c r="AS93" s="26">
        <f>AM93+AN93</f>
        <v>0</v>
      </c>
      <c r="AT93" s="26">
        <f>G93/(100-AU93)*100</f>
        <v>0</v>
      </c>
      <c r="AU93" s="26">
        <v>0</v>
      </c>
      <c r="AV93" s="26">
        <f>L93</f>
        <v>0</v>
      </c>
    </row>
    <row r="94" spans="1:48" ht="12.75">
      <c r="A94" s="12" t="s">
        <v>44</v>
      </c>
      <c r="B94" s="12" t="s">
        <v>90</v>
      </c>
      <c r="C94" s="12" t="s">
        <v>130</v>
      </c>
      <c r="D94" s="12" t="s">
        <v>449</v>
      </c>
      <c r="E94" s="12" t="s">
        <v>331</v>
      </c>
      <c r="F94" s="26">
        <v>9</v>
      </c>
      <c r="G94" s="75"/>
      <c r="H94" s="26">
        <f>F94*AE94</f>
        <v>0</v>
      </c>
      <c r="I94" s="26">
        <f>J94-H94</f>
        <v>0</v>
      </c>
      <c r="J94" s="26">
        <f>F94*G94</f>
        <v>0</v>
      </c>
      <c r="K94" s="26">
        <v>0.01605</v>
      </c>
      <c r="L94" s="26">
        <f>F94*K94</f>
        <v>0.14445</v>
      </c>
      <c r="M94" s="27" t="s">
        <v>353</v>
      </c>
      <c r="P94" s="26">
        <f>IF(AG94="5",J94,0)</f>
        <v>0</v>
      </c>
      <c r="R94" s="26">
        <f>IF(AG94="1",H94,0)</f>
        <v>0</v>
      </c>
      <c r="S94" s="26">
        <f>IF(AG94="1",I94,0)</f>
        <v>0</v>
      </c>
      <c r="T94" s="26">
        <f>IF(AG94="7",H94,0)</f>
        <v>0</v>
      </c>
      <c r="U94" s="26">
        <f>IF(AG94="7",I94,0)</f>
        <v>0</v>
      </c>
      <c r="V94" s="26">
        <f>IF(AG94="2",H94,0)</f>
        <v>0</v>
      </c>
      <c r="W94" s="26">
        <f>IF(AG94="2",I94,0)</f>
        <v>0</v>
      </c>
      <c r="X94" s="26">
        <f>IF(AG94="0",J94,0)</f>
        <v>0</v>
      </c>
      <c r="Y94" s="19" t="s">
        <v>90</v>
      </c>
      <c r="Z94" s="16">
        <f>IF(AD94=0,J94,0)</f>
        <v>0</v>
      </c>
      <c r="AA94" s="16">
        <f>IF(AD94=15,J94,0)</f>
        <v>0</v>
      </c>
      <c r="AB94" s="16">
        <f>IF(AD94=21,J94,0)</f>
        <v>0</v>
      </c>
      <c r="AD94" s="26">
        <v>21</v>
      </c>
      <c r="AE94" s="26">
        <f>G94*1</f>
        <v>0</v>
      </c>
      <c r="AF94" s="26">
        <f>G94*(1-1)</f>
        <v>0</v>
      </c>
      <c r="AG94" s="23" t="s">
        <v>7</v>
      </c>
      <c r="AM94" s="26">
        <f>F94*AE94</f>
        <v>0</v>
      </c>
      <c r="AN94" s="26">
        <f>F94*AF94</f>
        <v>0</v>
      </c>
      <c r="AO94" s="27" t="s">
        <v>377</v>
      </c>
      <c r="AP94" s="27" t="s">
        <v>392</v>
      </c>
      <c r="AQ94" s="19" t="s">
        <v>395</v>
      </c>
      <c r="AS94" s="26">
        <f>AM94+AN94</f>
        <v>0</v>
      </c>
      <c r="AT94" s="26">
        <f>G94/(100-AU94)*100</f>
        <v>0</v>
      </c>
      <c r="AU94" s="26">
        <v>0</v>
      </c>
      <c r="AV94" s="26">
        <f>L94</f>
        <v>0.14445</v>
      </c>
    </row>
    <row r="95" spans="1:13" ht="12.75">
      <c r="A95" s="71"/>
      <c r="B95" s="71"/>
      <c r="C95" s="71"/>
      <c r="D95" s="72" t="s">
        <v>15</v>
      </c>
      <c r="E95" s="71"/>
      <c r="F95" s="73">
        <v>9</v>
      </c>
      <c r="G95" s="71"/>
      <c r="H95" s="71"/>
      <c r="I95" s="71"/>
      <c r="J95" s="71"/>
      <c r="K95" s="71"/>
      <c r="L95" s="71"/>
      <c r="M95" s="71"/>
    </row>
    <row r="96" spans="1:37" ht="12.75">
      <c r="A96" s="67"/>
      <c r="B96" s="68" t="s">
        <v>90</v>
      </c>
      <c r="C96" s="68" t="s">
        <v>131</v>
      </c>
      <c r="D96" s="68" t="s">
        <v>260</v>
      </c>
      <c r="E96" s="67" t="s">
        <v>6</v>
      </c>
      <c r="F96" s="67" t="s">
        <v>6</v>
      </c>
      <c r="G96" s="67" t="s">
        <v>6</v>
      </c>
      <c r="H96" s="69">
        <f>SUM(H97:H99)</f>
        <v>0</v>
      </c>
      <c r="I96" s="69">
        <f>SUM(I97:I99)</f>
        <v>0</v>
      </c>
      <c r="J96" s="69">
        <f>H96+I96</f>
        <v>0</v>
      </c>
      <c r="K96" s="70"/>
      <c r="L96" s="69">
        <f>SUM(L99:L99)</f>
        <v>5.6862</v>
      </c>
      <c r="M96" s="70"/>
      <c r="Y96" s="19" t="s">
        <v>90</v>
      </c>
      <c r="AI96" s="28">
        <f>SUM(Z99:Z99)</f>
        <v>0</v>
      </c>
      <c r="AJ96" s="28">
        <f>SUM(AA99:AA99)</f>
        <v>0</v>
      </c>
      <c r="AK96" s="28">
        <f>SUM(AB99:AB99)</f>
        <v>0</v>
      </c>
    </row>
    <row r="97" spans="1:48" ht="12.75">
      <c r="A97" s="12" t="s">
        <v>45</v>
      </c>
      <c r="B97" s="12" t="s">
        <v>90</v>
      </c>
      <c r="C97" s="12" t="s">
        <v>450</v>
      </c>
      <c r="D97" s="12" t="s">
        <v>451</v>
      </c>
      <c r="E97" s="12" t="s">
        <v>331</v>
      </c>
      <c r="F97" s="26">
        <v>2</v>
      </c>
      <c r="G97" s="75"/>
      <c r="H97" s="26">
        <f>F97*AE97</f>
        <v>0</v>
      </c>
      <c r="I97" s="26">
        <f>J97-H97</f>
        <v>0</v>
      </c>
      <c r="J97" s="26">
        <f>F97*G97</f>
        <v>0</v>
      </c>
      <c r="K97" s="26">
        <v>0</v>
      </c>
      <c r="L97" s="26">
        <f>F97*K97</f>
        <v>0</v>
      </c>
      <c r="M97" s="27" t="s">
        <v>353</v>
      </c>
      <c r="P97" s="26">
        <f>IF(AG97="5",J97,0)</f>
        <v>0</v>
      </c>
      <c r="R97" s="26">
        <f>IF(AG97="1",H97,0)</f>
        <v>0</v>
      </c>
      <c r="S97" s="26">
        <f>IF(AG97="1",I97,0)</f>
        <v>0</v>
      </c>
      <c r="T97" s="26">
        <f>IF(AG97="7",H97,0)</f>
        <v>0</v>
      </c>
      <c r="U97" s="26">
        <f>IF(AG97="7",I97,0)</f>
        <v>0</v>
      </c>
      <c r="V97" s="26">
        <f>IF(AG97="2",H97,0)</f>
        <v>0</v>
      </c>
      <c r="W97" s="26">
        <f>IF(AG97="2",I97,0)</f>
        <v>0</v>
      </c>
      <c r="X97" s="26">
        <f>IF(AG97="0",J97,0)</f>
        <v>0</v>
      </c>
      <c r="Y97" s="19" t="s">
        <v>90</v>
      </c>
      <c r="Z97" s="14">
        <f>IF(AD97=0,J97,0)</f>
        <v>0</v>
      </c>
      <c r="AA97" s="14">
        <f>IF(AD97=15,J97,0)</f>
        <v>0</v>
      </c>
      <c r="AB97" s="14">
        <f>IF(AD97=21,J97,0)</f>
        <v>0</v>
      </c>
      <c r="AD97" s="26">
        <v>21</v>
      </c>
      <c r="AE97" s="26">
        <f>G97*0</f>
        <v>0</v>
      </c>
      <c r="AF97" s="26">
        <f>G97*(1-0)</f>
        <v>0</v>
      </c>
      <c r="AG97" s="22" t="s">
        <v>7</v>
      </c>
      <c r="AM97" s="26">
        <f>F97*AE97</f>
        <v>0</v>
      </c>
      <c r="AN97" s="26">
        <f>F97*AF97</f>
        <v>0</v>
      </c>
      <c r="AO97" s="27" t="s">
        <v>370</v>
      </c>
      <c r="AP97" s="27" t="s">
        <v>388</v>
      </c>
      <c r="AQ97" s="19" t="s">
        <v>395</v>
      </c>
      <c r="AS97" s="26">
        <f>AM97+AN97</f>
        <v>0</v>
      </c>
      <c r="AT97" s="26">
        <f>G97/(100-AU97)*100</f>
        <v>0</v>
      </c>
      <c r="AU97" s="26">
        <v>0</v>
      </c>
      <c r="AV97" s="26">
        <f>L97</f>
        <v>0</v>
      </c>
    </row>
    <row r="98" spans="1:48" ht="12.75">
      <c r="A98" s="12" t="s">
        <v>46</v>
      </c>
      <c r="B98" s="12" t="s">
        <v>90</v>
      </c>
      <c r="C98" s="12" t="s">
        <v>452</v>
      </c>
      <c r="D98" s="12" t="s">
        <v>453</v>
      </c>
      <c r="E98" s="12" t="s">
        <v>331</v>
      </c>
      <c r="F98" s="26">
        <v>2</v>
      </c>
      <c r="G98" s="75"/>
      <c r="H98" s="26">
        <f>F98*AE98</f>
        <v>0</v>
      </c>
      <c r="I98" s="26">
        <f>J98-H98</f>
        <v>0</v>
      </c>
      <c r="J98" s="26">
        <f>F98*G98</f>
        <v>0</v>
      </c>
      <c r="K98" s="26">
        <v>0.01605</v>
      </c>
      <c r="L98" s="26">
        <f>F98*K98</f>
        <v>0.0321</v>
      </c>
      <c r="M98" s="27" t="s">
        <v>353</v>
      </c>
      <c r="P98" s="26">
        <f>IF(AG98="5",J98,0)</f>
        <v>0</v>
      </c>
      <c r="R98" s="26">
        <f>IF(AG98="1",H98,0)</f>
        <v>0</v>
      </c>
      <c r="S98" s="26">
        <f>IF(AG98="1",I98,0)</f>
        <v>0</v>
      </c>
      <c r="T98" s="26">
        <f>IF(AG98="7",H98,0)</f>
        <v>0</v>
      </c>
      <c r="U98" s="26">
        <f>IF(AG98="7",I98,0)</f>
        <v>0</v>
      </c>
      <c r="V98" s="26">
        <f>IF(AG98="2",H98,0)</f>
        <v>0</v>
      </c>
      <c r="W98" s="26">
        <f>IF(AG98="2",I98,0)</f>
        <v>0</v>
      </c>
      <c r="X98" s="26">
        <f>IF(AG98="0",J98,0)</f>
        <v>0</v>
      </c>
      <c r="Y98" s="19" t="s">
        <v>90</v>
      </c>
      <c r="Z98" s="16">
        <f>IF(AD98=0,J98,0)</f>
        <v>0</v>
      </c>
      <c r="AA98" s="16">
        <f>IF(AD98=15,J98,0)</f>
        <v>0</v>
      </c>
      <c r="AB98" s="16">
        <f>IF(AD98=21,J98,0)</f>
        <v>0</v>
      </c>
      <c r="AD98" s="26">
        <v>21</v>
      </c>
      <c r="AE98" s="26">
        <f>G98*1</f>
        <v>0</v>
      </c>
      <c r="AF98" s="26">
        <f>G98*(1-1)</f>
        <v>0</v>
      </c>
      <c r="AG98" s="23" t="s">
        <v>7</v>
      </c>
      <c r="AM98" s="26">
        <f>F98*AE98</f>
        <v>0</v>
      </c>
      <c r="AN98" s="26">
        <f>F98*AF98</f>
        <v>0</v>
      </c>
      <c r="AO98" s="27" t="s">
        <v>377</v>
      </c>
      <c r="AP98" s="27" t="s">
        <v>392</v>
      </c>
      <c r="AQ98" s="19" t="s">
        <v>395</v>
      </c>
      <c r="AS98" s="26">
        <f>AM98+AN98</f>
        <v>0</v>
      </c>
      <c r="AT98" s="26">
        <f>G98/(100-AU98)*100</f>
        <v>0</v>
      </c>
      <c r="AU98" s="26">
        <v>0</v>
      </c>
      <c r="AV98" s="26">
        <f>L98</f>
        <v>0.0321</v>
      </c>
    </row>
    <row r="99" spans="1:48" ht="12.75">
      <c r="A99" s="12" t="s">
        <v>47</v>
      </c>
      <c r="B99" s="12" t="s">
        <v>90</v>
      </c>
      <c r="C99" s="12" t="s">
        <v>132</v>
      </c>
      <c r="D99" s="12" t="s">
        <v>261</v>
      </c>
      <c r="E99" s="12" t="s">
        <v>331</v>
      </c>
      <c r="F99" s="26">
        <v>18</v>
      </c>
      <c r="G99" s="75"/>
      <c r="H99" s="26">
        <f>F99*AE99</f>
        <v>0</v>
      </c>
      <c r="I99" s="26">
        <f>J99-H99</f>
        <v>0</v>
      </c>
      <c r="J99" s="26">
        <f>F99*G99</f>
        <v>0</v>
      </c>
      <c r="K99" s="26">
        <v>0.3159</v>
      </c>
      <c r="L99" s="26">
        <f>F99*K99</f>
        <v>5.6862</v>
      </c>
      <c r="M99" s="27" t="s">
        <v>353</v>
      </c>
      <c r="P99" s="26">
        <f>IF(AG99="5",J99,0)</f>
        <v>0</v>
      </c>
      <c r="R99" s="26">
        <f>IF(AG99="1",H99,0)</f>
        <v>0</v>
      </c>
      <c r="S99" s="26">
        <f>IF(AG99="1",I99,0)</f>
        <v>0</v>
      </c>
      <c r="T99" s="26">
        <f>IF(AG99="7",H99,0)</f>
        <v>0</v>
      </c>
      <c r="U99" s="26">
        <f>IF(AG99="7",I99,0)</f>
        <v>0</v>
      </c>
      <c r="V99" s="26">
        <f>IF(AG99="2",H99,0)</f>
        <v>0</v>
      </c>
      <c r="W99" s="26">
        <f>IF(AG99="2",I99,0)</f>
        <v>0</v>
      </c>
      <c r="X99" s="26">
        <f>IF(AG99="0",J99,0)</f>
        <v>0</v>
      </c>
      <c r="Y99" s="19" t="s">
        <v>90</v>
      </c>
      <c r="Z99" s="14">
        <f>IF(AD99=0,J99,0)</f>
        <v>0</v>
      </c>
      <c r="AA99" s="14">
        <f>IF(AD99=15,J99,0)</f>
        <v>0</v>
      </c>
      <c r="AB99" s="14">
        <f>IF(AD99=21,J99,0)</f>
        <v>0</v>
      </c>
      <c r="AD99" s="26">
        <v>21</v>
      </c>
      <c r="AE99" s="26">
        <f>G99*0.51898424956413</f>
        <v>0</v>
      </c>
      <c r="AF99" s="26">
        <f>G99*(1-0.51898424956413)</f>
        <v>0</v>
      </c>
      <c r="AG99" s="22" t="s">
        <v>7</v>
      </c>
      <c r="AM99" s="26">
        <f>F99*AE99</f>
        <v>0</v>
      </c>
      <c r="AN99" s="26">
        <f>F99*AF99</f>
        <v>0</v>
      </c>
      <c r="AO99" s="27" t="s">
        <v>378</v>
      </c>
      <c r="AP99" s="27" t="s">
        <v>392</v>
      </c>
      <c r="AQ99" s="19" t="s">
        <v>395</v>
      </c>
      <c r="AS99" s="26">
        <f>AM99+AN99</f>
        <v>0</v>
      </c>
      <c r="AT99" s="26">
        <f>G99/(100-AU99)*100</f>
        <v>0</v>
      </c>
      <c r="AU99" s="26">
        <v>0</v>
      </c>
      <c r="AV99" s="26">
        <f>L99</f>
        <v>5.6862</v>
      </c>
    </row>
    <row r="100" spans="1:13" ht="12.75">
      <c r="A100" s="71"/>
      <c r="B100" s="71"/>
      <c r="C100" s="71"/>
      <c r="D100" s="72" t="s">
        <v>24</v>
      </c>
      <c r="E100" s="71"/>
      <c r="F100" s="73">
        <v>18</v>
      </c>
      <c r="G100" s="71"/>
      <c r="H100" s="71"/>
      <c r="I100" s="71"/>
      <c r="J100" s="71"/>
      <c r="K100" s="71"/>
      <c r="L100" s="71"/>
      <c r="M100" s="71"/>
    </row>
    <row r="101" spans="1:37" ht="12.75">
      <c r="A101" s="67"/>
      <c r="B101" s="68" t="s">
        <v>90</v>
      </c>
      <c r="C101" s="68" t="s">
        <v>133</v>
      </c>
      <c r="D101" s="68" t="s">
        <v>262</v>
      </c>
      <c r="E101" s="67" t="s">
        <v>6</v>
      </c>
      <c r="F101" s="67" t="s">
        <v>6</v>
      </c>
      <c r="G101" s="67" t="s">
        <v>6</v>
      </c>
      <c r="H101" s="69">
        <f>SUM(H102:H125)</f>
        <v>0</v>
      </c>
      <c r="I101" s="69">
        <f>SUM(I102:I125)</f>
        <v>0</v>
      </c>
      <c r="J101" s="69">
        <f>H101+I101</f>
        <v>0</v>
      </c>
      <c r="K101" s="70"/>
      <c r="L101" s="69">
        <f>SUM(L102:L125)</f>
        <v>59.258500000000005</v>
      </c>
      <c r="M101" s="70"/>
      <c r="Y101" s="19" t="s">
        <v>90</v>
      </c>
      <c r="AI101" s="28">
        <f>SUM(Z102:Z125)</f>
        <v>0</v>
      </c>
      <c r="AJ101" s="28">
        <f>SUM(AA102:AA125)</f>
        <v>0</v>
      </c>
      <c r="AK101" s="28">
        <f>SUM(AB102:AB125)</f>
        <v>0</v>
      </c>
    </row>
    <row r="102" spans="1:48" ht="12.75">
      <c r="A102" s="12" t="s">
        <v>48</v>
      </c>
      <c r="B102" s="12" t="s">
        <v>90</v>
      </c>
      <c r="C102" s="12" t="s">
        <v>134</v>
      </c>
      <c r="D102" s="12" t="s">
        <v>263</v>
      </c>
      <c r="E102" s="12" t="s">
        <v>331</v>
      </c>
      <c r="F102" s="26">
        <v>2</v>
      </c>
      <c r="G102" s="75"/>
      <c r="H102" s="26">
        <f aca="true" t="shared" si="0" ref="H102:H107">F102*AE102</f>
        <v>0</v>
      </c>
      <c r="I102" s="26">
        <f aca="true" t="shared" si="1" ref="I102:I107">J102-H102</f>
        <v>0</v>
      </c>
      <c r="J102" s="26">
        <f aca="true" t="shared" si="2" ref="J102:J107">F102*G102</f>
        <v>0</v>
      </c>
      <c r="K102" s="26">
        <v>0.25</v>
      </c>
      <c r="L102" s="26">
        <f aca="true" t="shared" si="3" ref="L102:L107">F102*K102</f>
        <v>0.5</v>
      </c>
      <c r="M102" s="27" t="s">
        <v>353</v>
      </c>
      <c r="P102" s="26">
        <f aca="true" t="shared" si="4" ref="P102:P107">IF(AG102="5",J102,0)</f>
        <v>0</v>
      </c>
      <c r="R102" s="26">
        <f aca="true" t="shared" si="5" ref="R102:R107">IF(AG102="1",H102,0)</f>
        <v>0</v>
      </c>
      <c r="S102" s="26">
        <f aca="true" t="shared" si="6" ref="S102:S107">IF(AG102="1",I102,0)</f>
        <v>0</v>
      </c>
      <c r="T102" s="26">
        <f aca="true" t="shared" si="7" ref="T102:T107">IF(AG102="7",H102,0)</f>
        <v>0</v>
      </c>
      <c r="U102" s="26">
        <f aca="true" t="shared" si="8" ref="U102:U107">IF(AG102="7",I102,0)</f>
        <v>0</v>
      </c>
      <c r="V102" s="26">
        <f aca="true" t="shared" si="9" ref="V102:V107">IF(AG102="2",H102,0)</f>
        <v>0</v>
      </c>
      <c r="W102" s="26">
        <f aca="true" t="shared" si="10" ref="W102:W107">IF(AG102="2",I102,0)</f>
        <v>0</v>
      </c>
      <c r="X102" s="26">
        <f aca="true" t="shared" si="11" ref="X102:X107">IF(AG102="0",J102,0)</f>
        <v>0</v>
      </c>
      <c r="Y102" s="19" t="s">
        <v>90</v>
      </c>
      <c r="Z102" s="14">
        <f aca="true" t="shared" si="12" ref="Z102:Z107">IF(AD102=0,J102,0)</f>
        <v>0</v>
      </c>
      <c r="AA102" s="14">
        <f aca="true" t="shared" si="13" ref="AA102:AA107">IF(AD102=15,J102,0)</f>
        <v>0</v>
      </c>
      <c r="AB102" s="14">
        <f aca="true" t="shared" si="14" ref="AB102:AB107">IF(AD102=21,J102,0)</f>
        <v>0</v>
      </c>
      <c r="AD102" s="26">
        <v>21</v>
      </c>
      <c r="AE102" s="26">
        <f>G102*0.415170278637771</f>
        <v>0</v>
      </c>
      <c r="AF102" s="26">
        <f>G102*(1-0.415170278637771)</f>
        <v>0</v>
      </c>
      <c r="AG102" s="22" t="s">
        <v>7</v>
      </c>
      <c r="AM102" s="26">
        <f aca="true" t="shared" si="15" ref="AM102:AM107">F102*AE102</f>
        <v>0</v>
      </c>
      <c r="AN102" s="26">
        <f aca="true" t="shared" si="16" ref="AN102:AN107">F102*AF102</f>
        <v>0</v>
      </c>
      <c r="AO102" s="27" t="s">
        <v>379</v>
      </c>
      <c r="AP102" s="27" t="s">
        <v>393</v>
      </c>
      <c r="AQ102" s="19" t="s">
        <v>395</v>
      </c>
      <c r="AS102" s="26">
        <f aca="true" t="shared" si="17" ref="AS102:AS107">AM102+AN102</f>
        <v>0</v>
      </c>
      <c r="AT102" s="26">
        <f aca="true" t="shared" si="18" ref="AT102:AT107">G102/(100-AU102)*100</f>
        <v>0</v>
      </c>
      <c r="AU102" s="26">
        <v>0</v>
      </c>
      <c r="AV102" s="26">
        <f aca="true" t="shared" si="19" ref="AV102:AV107">L102</f>
        <v>0.5</v>
      </c>
    </row>
    <row r="103" spans="1:48" ht="12.75">
      <c r="A103" s="12" t="s">
        <v>49</v>
      </c>
      <c r="B103" s="12" t="s">
        <v>90</v>
      </c>
      <c r="C103" s="12" t="s">
        <v>135</v>
      </c>
      <c r="D103" s="12" t="s">
        <v>264</v>
      </c>
      <c r="E103" s="12" t="s">
        <v>331</v>
      </c>
      <c r="F103" s="26">
        <v>2</v>
      </c>
      <c r="G103" s="75"/>
      <c r="H103" s="26">
        <f t="shared" si="0"/>
        <v>0</v>
      </c>
      <c r="I103" s="26">
        <f t="shared" si="1"/>
        <v>0</v>
      </c>
      <c r="J103" s="26">
        <f t="shared" si="2"/>
        <v>0</v>
      </c>
      <c r="K103" s="26">
        <v>0.018</v>
      </c>
      <c r="L103" s="26">
        <f t="shared" si="3"/>
        <v>0.036</v>
      </c>
      <c r="M103" s="27" t="s">
        <v>353</v>
      </c>
      <c r="P103" s="26">
        <f t="shared" si="4"/>
        <v>0</v>
      </c>
      <c r="R103" s="26">
        <f t="shared" si="5"/>
        <v>0</v>
      </c>
      <c r="S103" s="26">
        <f t="shared" si="6"/>
        <v>0</v>
      </c>
      <c r="T103" s="26">
        <f t="shared" si="7"/>
        <v>0</v>
      </c>
      <c r="U103" s="26">
        <f t="shared" si="8"/>
        <v>0</v>
      </c>
      <c r="V103" s="26">
        <f t="shared" si="9"/>
        <v>0</v>
      </c>
      <c r="W103" s="26">
        <f t="shared" si="10"/>
        <v>0</v>
      </c>
      <c r="X103" s="26">
        <f t="shared" si="11"/>
        <v>0</v>
      </c>
      <c r="Y103" s="19" t="s">
        <v>90</v>
      </c>
      <c r="Z103" s="16">
        <f t="shared" si="12"/>
        <v>0</v>
      </c>
      <c r="AA103" s="16">
        <f t="shared" si="13"/>
        <v>0</v>
      </c>
      <c r="AB103" s="16">
        <f t="shared" si="14"/>
        <v>0</v>
      </c>
      <c r="AD103" s="26">
        <v>21</v>
      </c>
      <c r="AE103" s="26">
        <f>G103*1</f>
        <v>0</v>
      </c>
      <c r="AF103" s="26">
        <f>G103*(1-1)</f>
        <v>0</v>
      </c>
      <c r="AG103" s="23" t="s">
        <v>7</v>
      </c>
      <c r="AM103" s="26">
        <f t="shared" si="15"/>
        <v>0</v>
      </c>
      <c r="AN103" s="26">
        <f t="shared" si="16"/>
        <v>0</v>
      </c>
      <c r="AO103" s="27" t="s">
        <v>379</v>
      </c>
      <c r="AP103" s="27" t="s">
        <v>393</v>
      </c>
      <c r="AQ103" s="19" t="s">
        <v>395</v>
      </c>
      <c r="AS103" s="26">
        <f t="shared" si="17"/>
        <v>0</v>
      </c>
      <c r="AT103" s="26">
        <f t="shared" si="18"/>
        <v>0</v>
      </c>
      <c r="AU103" s="26">
        <v>0</v>
      </c>
      <c r="AV103" s="26">
        <f t="shared" si="19"/>
        <v>0.036</v>
      </c>
    </row>
    <row r="104" spans="1:48" ht="12.75">
      <c r="A104" s="12" t="s">
        <v>50</v>
      </c>
      <c r="B104" s="12" t="s">
        <v>90</v>
      </c>
      <c r="C104" s="12" t="s">
        <v>136</v>
      </c>
      <c r="D104" s="12" t="s">
        <v>265</v>
      </c>
      <c r="E104" s="12" t="s">
        <v>331</v>
      </c>
      <c r="F104" s="26">
        <v>2</v>
      </c>
      <c r="G104" s="75"/>
      <c r="H104" s="26">
        <f t="shared" si="0"/>
        <v>0</v>
      </c>
      <c r="I104" s="26">
        <f t="shared" si="1"/>
        <v>0</v>
      </c>
      <c r="J104" s="26">
        <f t="shared" si="2"/>
        <v>0</v>
      </c>
      <c r="K104" s="26">
        <v>0</v>
      </c>
      <c r="L104" s="26">
        <f t="shared" si="3"/>
        <v>0</v>
      </c>
      <c r="M104" s="27" t="s">
        <v>353</v>
      </c>
      <c r="P104" s="26">
        <f t="shared" si="4"/>
        <v>0</v>
      </c>
      <c r="R104" s="26">
        <f t="shared" si="5"/>
        <v>0</v>
      </c>
      <c r="S104" s="26">
        <f t="shared" si="6"/>
        <v>0</v>
      </c>
      <c r="T104" s="26">
        <f t="shared" si="7"/>
        <v>0</v>
      </c>
      <c r="U104" s="26">
        <f t="shared" si="8"/>
        <v>0</v>
      </c>
      <c r="V104" s="26">
        <f t="shared" si="9"/>
        <v>0</v>
      </c>
      <c r="W104" s="26">
        <f t="shared" si="10"/>
        <v>0</v>
      </c>
      <c r="X104" s="26">
        <f t="shared" si="11"/>
        <v>0</v>
      </c>
      <c r="Y104" s="19" t="s">
        <v>90</v>
      </c>
      <c r="Z104" s="16">
        <f t="shared" si="12"/>
        <v>0</v>
      </c>
      <c r="AA104" s="16">
        <f t="shared" si="13"/>
        <v>0</v>
      </c>
      <c r="AB104" s="16">
        <f t="shared" si="14"/>
        <v>0</v>
      </c>
      <c r="AD104" s="26">
        <v>21</v>
      </c>
      <c r="AE104" s="26">
        <f>G104*1</f>
        <v>0</v>
      </c>
      <c r="AF104" s="26">
        <f>G104*(1-1)</f>
        <v>0</v>
      </c>
      <c r="AG104" s="23" t="s">
        <v>7</v>
      </c>
      <c r="AM104" s="26">
        <f t="shared" si="15"/>
        <v>0</v>
      </c>
      <c r="AN104" s="26">
        <f t="shared" si="16"/>
        <v>0</v>
      </c>
      <c r="AO104" s="27" t="s">
        <v>379</v>
      </c>
      <c r="AP104" s="27" t="s">
        <v>393</v>
      </c>
      <c r="AQ104" s="19" t="s">
        <v>395</v>
      </c>
      <c r="AS104" s="26">
        <f t="shared" si="17"/>
        <v>0</v>
      </c>
      <c r="AT104" s="26">
        <f t="shared" si="18"/>
        <v>0</v>
      </c>
      <c r="AU104" s="26">
        <v>0</v>
      </c>
      <c r="AV104" s="26">
        <f t="shared" si="19"/>
        <v>0</v>
      </c>
    </row>
    <row r="105" spans="1:48" ht="12.75">
      <c r="A105" s="5" t="s">
        <v>51</v>
      </c>
      <c r="B105" s="5" t="s">
        <v>90</v>
      </c>
      <c r="C105" s="5" t="s">
        <v>137</v>
      </c>
      <c r="D105" s="5" t="s">
        <v>266</v>
      </c>
      <c r="E105" s="5" t="s">
        <v>331</v>
      </c>
      <c r="F105" s="16">
        <v>1</v>
      </c>
      <c r="G105" s="77"/>
      <c r="H105" s="16">
        <f t="shared" si="0"/>
        <v>0</v>
      </c>
      <c r="I105" s="16">
        <f t="shared" si="1"/>
        <v>0</v>
      </c>
      <c r="J105" s="16">
        <f t="shared" si="2"/>
        <v>0</v>
      </c>
      <c r="K105" s="16">
        <v>0.0051</v>
      </c>
      <c r="L105" s="16">
        <f t="shared" si="3"/>
        <v>0.0051</v>
      </c>
      <c r="M105" s="23" t="s">
        <v>353</v>
      </c>
      <c r="P105" s="26">
        <f t="shared" si="4"/>
        <v>0</v>
      </c>
      <c r="R105" s="26">
        <f t="shared" si="5"/>
        <v>0</v>
      </c>
      <c r="S105" s="26">
        <f t="shared" si="6"/>
        <v>0</v>
      </c>
      <c r="T105" s="26">
        <f t="shared" si="7"/>
        <v>0</v>
      </c>
      <c r="U105" s="26">
        <f t="shared" si="8"/>
        <v>0</v>
      </c>
      <c r="V105" s="26">
        <f t="shared" si="9"/>
        <v>0</v>
      </c>
      <c r="W105" s="26">
        <f t="shared" si="10"/>
        <v>0</v>
      </c>
      <c r="X105" s="26">
        <f t="shared" si="11"/>
        <v>0</v>
      </c>
      <c r="Y105" s="19" t="s">
        <v>90</v>
      </c>
      <c r="Z105" s="16">
        <f t="shared" si="12"/>
        <v>0</v>
      </c>
      <c r="AA105" s="16">
        <f t="shared" si="13"/>
        <v>0</v>
      </c>
      <c r="AB105" s="16">
        <f t="shared" si="14"/>
        <v>0</v>
      </c>
      <c r="AD105" s="26">
        <v>21</v>
      </c>
      <c r="AE105" s="26">
        <f>G105*1</f>
        <v>0</v>
      </c>
      <c r="AF105" s="26">
        <f>G105*(1-1)</f>
        <v>0</v>
      </c>
      <c r="AG105" s="23" t="s">
        <v>7</v>
      </c>
      <c r="AM105" s="26">
        <f t="shared" si="15"/>
        <v>0</v>
      </c>
      <c r="AN105" s="26">
        <f t="shared" si="16"/>
        <v>0</v>
      </c>
      <c r="AO105" s="27" t="s">
        <v>379</v>
      </c>
      <c r="AP105" s="27" t="s">
        <v>393</v>
      </c>
      <c r="AQ105" s="19" t="s">
        <v>395</v>
      </c>
      <c r="AS105" s="26">
        <f t="shared" si="17"/>
        <v>0</v>
      </c>
      <c r="AT105" s="26">
        <f t="shared" si="18"/>
        <v>0</v>
      </c>
      <c r="AU105" s="26">
        <v>0</v>
      </c>
      <c r="AV105" s="26">
        <f t="shared" si="19"/>
        <v>0.0051</v>
      </c>
    </row>
    <row r="106" spans="1:48" ht="12.75">
      <c r="A106" s="12" t="s">
        <v>52</v>
      </c>
      <c r="B106" s="12" t="s">
        <v>90</v>
      </c>
      <c r="C106" s="12" t="s">
        <v>138</v>
      </c>
      <c r="D106" s="12" t="s">
        <v>267</v>
      </c>
      <c r="E106" s="12" t="s">
        <v>328</v>
      </c>
      <c r="F106" s="26">
        <v>22.1</v>
      </c>
      <c r="G106" s="75"/>
      <c r="H106" s="26">
        <f t="shared" si="0"/>
        <v>0</v>
      </c>
      <c r="I106" s="26">
        <f t="shared" si="1"/>
        <v>0</v>
      </c>
      <c r="J106" s="26">
        <f t="shared" si="2"/>
        <v>0</v>
      </c>
      <c r="K106" s="26">
        <v>0</v>
      </c>
      <c r="L106" s="26">
        <f t="shared" si="3"/>
        <v>0</v>
      </c>
      <c r="M106" s="27" t="s">
        <v>353</v>
      </c>
      <c r="P106" s="26">
        <f t="shared" si="4"/>
        <v>0</v>
      </c>
      <c r="R106" s="26">
        <f t="shared" si="5"/>
        <v>0</v>
      </c>
      <c r="S106" s="26">
        <f t="shared" si="6"/>
        <v>0</v>
      </c>
      <c r="T106" s="26">
        <f t="shared" si="7"/>
        <v>0</v>
      </c>
      <c r="U106" s="26">
        <f t="shared" si="8"/>
        <v>0</v>
      </c>
      <c r="V106" s="26">
        <f t="shared" si="9"/>
        <v>0</v>
      </c>
      <c r="W106" s="26">
        <f t="shared" si="10"/>
        <v>0</v>
      </c>
      <c r="X106" s="26">
        <f t="shared" si="11"/>
        <v>0</v>
      </c>
      <c r="Y106" s="19" t="s">
        <v>90</v>
      </c>
      <c r="Z106" s="14">
        <f t="shared" si="12"/>
        <v>0</v>
      </c>
      <c r="AA106" s="14">
        <f t="shared" si="13"/>
        <v>0</v>
      </c>
      <c r="AB106" s="14">
        <f t="shared" si="14"/>
        <v>0</v>
      </c>
      <c r="AD106" s="26">
        <v>21</v>
      </c>
      <c r="AE106" s="26">
        <f>G106*0.620341519338683</f>
        <v>0</v>
      </c>
      <c r="AF106" s="26">
        <f>G106*(1-0.620341519338683)</f>
        <v>0</v>
      </c>
      <c r="AG106" s="22" t="s">
        <v>7</v>
      </c>
      <c r="AM106" s="26">
        <f t="shared" si="15"/>
        <v>0</v>
      </c>
      <c r="AN106" s="26">
        <f t="shared" si="16"/>
        <v>0</v>
      </c>
      <c r="AO106" s="27" t="s">
        <v>379</v>
      </c>
      <c r="AP106" s="27" t="s">
        <v>393</v>
      </c>
      <c r="AQ106" s="19" t="s">
        <v>395</v>
      </c>
      <c r="AS106" s="26">
        <f t="shared" si="17"/>
        <v>0</v>
      </c>
      <c r="AT106" s="26">
        <f t="shared" si="18"/>
        <v>0</v>
      </c>
      <c r="AU106" s="26">
        <v>0</v>
      </c>
      <c r="AV106" s="26">
        <f t="shared" si="19"/>
        <v>0</v>
      </c>
    </row>
    <row r="107" spans="1:48" ht="12.75">
      <c r="A107" s="12" t="s">
        <v>53</v>
      </c>
      <c r="B107" s="12" t="s">
        <v>90</v>
      </c>
      <c r="C107" s="12" t="s">
        <v>139</v>
      </c>
      <c r="D107" s="12" t="s">
        <v>268</v>
      </c>
      <c r="E107" s="12" t="s">
        <v>332</v>
      </c>
      <c r="F107" s="26">
        <v>420</v>
      </c>
      <c r="G107" s="75"/>
      <c r="H107" s="26">
        <f t="shared" si="0"/>
        <v>0</v>
      </c>
      <c r="I107" s="26">
        <f t="shared" si="1"/>
        <v>0</v>
      </c>
      <c r="J107" s="26">
        <f t="shared" si="2"/>
        <v>0</v>
      </c>
      <c r="K107" s="26">
        <v>0</v>
      </c>
      <c r="L107" s="26">
        <f t="shared" si="3"/>
        <v>0</v>
      </c>
      <c r="M107" s="27" t="s">
        <v>353</v>
      </c>
      <c r="P107" s="26">
        <f t="shared" si="4"/>
        <v>0</v>
      </c>
      <c r="R107" s="26">
        <f t="shared" si="5"/>
        <v>0</v>
      </c>
      <c r="S107" s="26">
        <f t="shared" si="6"/>
        <v>0</v>
      </c>
      <c r="T107" s="26">
        <f t="shared" si="7"/>
        <v>0</v>
      </c>
      <c r="U107" s="26">
        <f t="shared" si="8"/>
        <v>0</v>
      </c>
      <c r="V107" s="26">
        <f t="shared" si="9"/>
        <v>0</v>
      </c>
      <c r="W107" s="26">
        <f t="shared" si="10"/>
        <v>0</v>
      </c>
      <c r="X107" s="26">
        <f t="shared" si="11"/>
        <v>0</v>
      </c>
      <c r="Y107" s="19" t="s">
        <v>90</v>
      </c>
      <c r="Z107" s="14">
        <f t="shared" si="12"/>
        <v>0</v>
      </c>
      <c r="AA107" s="14">
        <f t="shared" si="13"/>
        <v>0</v>
      </c>
      <c r="AB107" s="14">
        <f t="shared" si="14"/>
        <v>0</v>
      </c>
      <c r="AD107" s="26">
        <v>21</v>
      </c>
      <c r="AE107" s="26">
        <f>G107*0</f>
        <v>0</v>
      </c>
      <c r="AF107" s="26">
        <f>G107*(1-0)</f>
        <v>0</v>
      </c>
      <c r="AG107" s="22" t="s">
        <v>7</v>
      </c>
      <c r="AM107" s="26">
        <f t="shared" si="15"/>
        <v>0</v>
      </c>
      <c r="AN107" s="26">
        <f t="shared" si="16"/>
        <v>0</v>
      </c>
      <c r="AO107" s="27" t="s">
        <v>379</v>
      </c>
      <c r="AP107" s="27" t="s">
        <v>393</v>
      </c>
      <c r="AQ107" s="19" t="s">
        <v>395</v>
      </c>
      <c r="AS107" s="26">
        <f t="shared" si="17"/>
        <v>0</v>
      </c>
      <c r="AT107" s="26">
        <f t="shared" si="18"/>
        <v>0</v>
      </c>
      <c r="AU107" s="26">
        <v>0</v>
      </c>
      <c r="AV107" s="26">
        <f t="shared" si="19"/>
        <v>0</v>
      </c>
    </row>
    <row r="108" spans="1:13" ht="12.75">
      <c r="A108" s="71"/>
      <c r="B108" s="71"/>
      <c r="C108" s="71"/>
      <c r="D108" s="72" t="s">
        <v>269</v>
      </c>
      <c r="E108" s="71"/>
      <c r="F108" s="73">
        <v>420</v>
      </c>
      <c r="G108" s="71"/>
      <c r="H108" s="71"/>
      <c r="I108" s="71"/>
      <c r="J108" s="71"/>
      <c r="K108" s="71"/>
      <c r="L108" s="71"/>
      <c r="M108" s="71"/>
    </row>
    <row r="109" spans="1:48" ht="12.75">
      <c r="A109" s="12" t="s">
        <v>54</v>
      </c>
      <c r="B109" s="12" t="s">
        <v>90</v>
      </c>
      <c r="C109" s="12" t="s">
        <v>140</v>
      </c>
      <c r="D109" s="12" t="s">
        <v>270</v>
      </c>
      <c r="E109" s="12" t="s">
        <v>333</v>
      </c>
      <c r="F109" s="26">
        <v>7</v>
      </c>
      <c r="G109" s="75"/>
      <c r="H109" s="26">
        <f>F109*AE109</f>
        <v>0</v>
      </c>
      <c r="I109" s="26">
        <f>J109-H109</f>
        <v>0</v>
      </c>
      <c r="J109" s="26">
        <f>F109*G109</f>
        <v>0</v>
      </c>
      <c r="K109" s="26">
        <v>0.066</v>
      </c>
      <c r="L109" s="26">
        <f>F109*K109</f>
        <v>0.462</v>
      </c>
      <c r="M109" s="27" t="s">
        <v>353</v>
      </c>
      <c r="P109" s="26">
        <f>IF(AG109="5",J109,0)</f>
        <v>0</v>
      </c>
      <c r="R109" s="26">
        <f>IF(AG109="1",H109,0)</f>
        <v>0</v>
      </c>
      <c r="S109" s="26">
        <f>IF(AG109="1",I109,0)</f>
        <v>0</v>
      </c>
      <c r="T109" s="26">
        <f>IF(AG109="7",H109,0)</f>
        <v>0</v>
      </c>
      <c r="U109" s="26">
        <f>IF(AG109="7",I109,0)</f>
        <v>0</v>
      </c>
      <c r="V109" s="26">
        <f>IF(AG109="2",H109,0)</f>
        <v>0</v>
      </c>
      <c r="W109" s="26">
        <f>IF(AG109="2",I109,0)</f>
        <v>0</v>
      </c>
      <c r="X109" s="26">
        <f>IF(AG109="0",J109,0)</f>
        <v>0</v>
      </c>
      <c r="Y109" s="19" t="s">
        <v>90</v>
      </c>
      <c r="Z109" s="14">
        <f>IF(AD109=0,J109,0)</f>
        <v>0</v>
      </c>
      <c r="AA109" s="14">
        <f>IF(AD109=15,J109,0)</f>
        <v>0</v>
      </c>
      <c r="AB109" s="14">
        <f>IF(AD109=21,J109,0)</f>
        <v>0</v>
      </c>
      <c r="AD109" s="26">
        <v>21</v>
      </c>
      <c r="AE109" s="26">
        <f>G109*0</f>
        <v>0</v>
      </c>
      <c r="AF109" s="26">
        <f>G109*(1-0)</f>
        <v>0</v>
      </c>
      <c r="AG109" s="22" t="s">
        <v>7</v>
      </c>
      <c r="AM109" s="26">
        <f>F109*AE109</f>
        <v>0</v>
      </c>
      <c r="AN109" s="26">
        <f>F109*AF109</f>
        <v>0</v>
      </c>
      <c r="AO109" s="27" t="s">
        <v>379</v>
      </c>
      <c r="AP109" s="27" t="s">
        <v>393</v>
      </c>
      <c r="AQ109" s="19" t="s">
        <v>395</v>
      </c>
      <c r="AS109" s="26">
        <f>AM109+AN109</f>
        <v>0</v>
      </c>
      <c r="AT109" s="26">
        <f>G109/(100-AU109)*100</f>
        <v>0</v>
      </c>
      <c r="AU109" s="26">
        <v>0</v>
      </c>
      <c r="AV109" s="26">
        <f>L109</f>
        <v>0.462</v>
      </c>
    </row>
    <row r="110" spans="1:13" ht="12.75">
      <c r="A110" s="71"/>
      <c r="B110" s="71"/>
      <c r="C110" s="71"/>
      <c r="D110" s="72" t="s">
        <v>13</v>
      </c>
      <c r="E110" s="71"/>
      <c r="F110" s="73">
        <v>7</v>
      </c>
      <c r="G110" s="71"/>
      <c r="H110" s="71"/>
      <c r="I110" s="71"/>
      <c r="J110" s="71"/>
      <c r="K110" s="71"/>
      <c r="L110" s="71"/>
      <c r="M110" s="71"/>
    </row>
    <row r="111" spans="1:48" ht="12.75">
      <c r="A111" s="12" t="s">
        <v>55</v>
      </c>
      <c r="B111" s="12" t="s">
        <v>90</v>
      </c>
      <c r="C111" s="12" t="s">
        <v>141</v>
      </c>
      <c r="D111" s="12" t="s">
        <v>271</v>
      </c>
      <c r="E111" s="12" t="s">
        <v>333</v>
      </c>
      <c r="F111" s="26">
        <v>7</v>
      </c>
      <c r="G111" s="75"/>
      <c r="H111" s="26">
        <f>F111*AE111</f>
        <v>0</v>
      </c>
      <c r="I111" s="26">
        <f>J111-H111</f>
        <v>0</v>
      </c>
      <c r="J111" s="26">
        <f>F111*G111</f>
        <v>0</v>
      </c>
      <c r="K111" s="26">
        <v>0.066</v>
      </c>
      <c r="L111" s="26">
        <f>F111*K111</f>
        <v>0.462</v>
      </c>
      <c r="M111" s="27" t="s">
        <v>353</v>
      </c>
      <c r="P111" s="26">
        <f>IF(AG111="5",J111,0)</f>
        <v>0</v>
      </c>
      <c r="R111" s="26">
        <f>IF(AG111="1",H111,0)</f>
        <v>0</v>
      </c>
      <c r="S111" s="26">
        <f>IF(AG111="1",I111,0)</f>
        <v>0</v>
      </c>
      <c r="T111" s="26">
        <f>IF(AG111="7",H111,0)</f>
        <v>0</v>
      </c>
      <c r="U111" s="26">
        <f>IF(AG111="7",I111,0)</f>
        <v>0</v>
      </c>
      <c r="V111" s="26">
        <f>IF(AG111="2",H111,0)</f>
        <v>0</v>
      </c>
      <c r="W111" s="26">
        <f>IF(AG111="2",I111,0)</f>
        <v>0</v>
      </c>
      <c r="X111" s="26">
        <f>IF(AG111="0",J111,0)</f>
        <v>0</v>
      </c>
      <c r="Y111" s="19" t="s">
        <v>90</v>
      </c>
      <c r="Z111" s="14">
        <f>IF(AD111=0,J111,0)</f>
        <v>0</v>
      </c>
      <c r="AA111" s="14">
        <f>IF(AD111=15,J111,0)</f>
        <v>0</v>
      </c>
      <c r="AB111" s="14">
        <f>IF(AD111=21,J111,0)</f>
        <v>0</v>
      </c>
      <c r="AD111" s="26">
        <v>21</v>
      </c>
      <c r="AE111" s="26">
        <f>G111*0</f>
        <v>0</v>
      </c>
      <c r="AF111" s="26">
        <f>G111*(1-0)</f>
        <v>0</v>
      </c>
      <c r="AG111" s="22" t="s">
        <v>7</v>
      </c>
      <c r="AM111" s="26">
        <f>F111*AE111</f>
        <v>0</v>
      </c>
      <c r="AN111" s="26">
        <f>F111*AF111</f>
        <v>0</v>
      </c>
      <c r="AO111" s="27" t="s">
        <v>379</v>
      </c>
      <c r="AP111" s="27" t="s">
        <v>393</v>
      </c>
      <c r="AQ111" s="19" t="s">
        <v>395</v>
      </c>
      <c r="AS111" s="26">
        <f>AM111+AN111</f>
        <v>0</v>
      </c>
      <c r="AT111" s="26">
        <f>G111/(100-AU111)*100</f>
        <v>0</v>
      </c>
      <c r="AU111" s="26">
        <v>0</v>
      </c>
      <c r="AV111" s="26">
        <f>L111</f>
        <v>0.462</v>
      </c>
    </row>
    <row r="112" spans="1:48" ht="12.75">
      <c r="A112" s="12" t="s">
        <v>56</v>
      </c>
      <c r="B112" s="12" t="s">
        <v>90</v>
      </c>
      <c r="C112" s="12" t="s">
        <v>142</v>
      </c>
      <c r="D112" s="12" t="s">
        <v>272</v>
      </c>
      <c r="E112" s="12" t="s">
        <v>328</v>
      </c>
      <c r="F112" s="26">
        <v>32</v>
      </c>
      <c r="G112" s="75"/>
      <c r="H112" s="26">
        <f>F112*AE112</f>
        <v>0</v>
      </c>
      <c r="I112" s="26">
        <f>J112-H112</f>
        <v>0</v>
      </c>
      <c r="J112" s="26">
        <f>F112*G112</f>
        <v>0</v>
      </c>
      <c r="K112" s="26">
        <v>0</v>
      </c>
      <c r="L112" s="26">
        <f>F112*K112</f>
        <v>0</v>
      </c>
      <c r="M112" s="27" t="s">
        <v>353</v>
      </c>
      <c r="P112" s="26">
        <f>IF(AG112="5",J112,0)</f>
        <v>0</v>
      </c>
      <c r="R112" s="26">
        <f>IF(AG112="1",H112,0)</f>
        <v>0</v>
      </c>
      <c r="S112" s="26">
        <f>IF(AG112="1",I112,0)</f>
        <v>0</v>
      </c>
      <c r="T112" s="26">
        <f>IF(AG112="7",H112,0)</f>
        <v>0</v>
      </c>
      <c r="U112" s="26">
        <f>IF(AG112="7",I112,0)</f>
        <v>0</v>
      </c>
      <c r="V112" s="26">
        <f>IF(AG112="2",H112,0)</f>
        <v>0</v>
      </c>
      <c r="W112" s="26">
        <f>IF(AG112="2",I112,0)</f>
        <v>0</v>
      </c>
      <c r="X112" s="26">
        <f>IF(AG112="0",J112,0)</f>
        <v>0</v>
      </c>
      <c r="Y112" s="19" t="s">
        <v>90</v>
      </c>
      <c r="Z112" s="14">
        <f>IF(AD112=0,J112,0)</f>
        <v>0</v>
      </c>
      <c r="AA112" s="14">
        <f>IF(AD112=15,J112,0)</f>
        <v>0</v>
      </c>
      <c r="AB112" s="14">
        <f>IF(AD112=21,J112,0)</f>
        <v>0</v>
      </c>
      <c r="AD112" s="26">
        <v>21</v>
      </c>
      <c r="AE112" s="26">
        <f>G112*0</f>
        <v>0</v>
      </c>
      <c r="AF112" s="26">
        <f>G112*(1-0)</f>
        <v>0</v>
      </c>
      <c r="AG112" s="22" t="s">
        <v>7</v>
      </c>
      <c r="AM112" s="26">
        <f>F112*AE112</f>
        <v>0</v>
      </c>
      <c r="AN112" s="26">
        <f>F112*AF112</f>
        <v>0</v>
      </c>
      <c r="AO112" s="27" t="s">
        <v>379</v>
      </c>
      <c r="AP112" s="27" t="s">
        <v>393</v>
      </c>
      <c r="AQ112" s="19" t="s">
        <v>395</v>
      </c>
      <c r="AS112" s="26">
        <f>AM112+AN112</f>
        <v>0</v>
      </c>
      <c r="AT112" s="26">
        <f>G112/(100-AU112)*100</f>
        <v>0</v>
      </c>
      <c r="AU112" s="26">
        <v>0</v>
      </c>
      <c r="AV112" s="26">
        <f>L112</f>
        <v>0</v>
      </c>
    </row>
    <row r="113" spans="1:13" ht="12.75">
      <c r="A113" s="71"/>
      <c r="B113" s="71"/>
      <c r="C113" s="71"/>
      <c r="D113" s="72" t="s">
        <v>38</v>
      </c>
      <c r="E113" s="71"/>
      <c r="F113" s="73">
        <v>32</v>
      </c>
      <c r="G113" s="71"/>
      <c r="H113" s="71"/>
      <c r="I113" s="71"/>
      <c r="J113" s="71"/>
      <c r="K113" s="71"/>
      <c r="L113" s="71"/>
      <c r="M113" s="71"/>
    </row>
    <row r="114" spans="1:48" ht="12.75">
      <c r="A114" s="12" t="s">
        <v>57</v>
      </c>
      <c r="B114" s="12" t="s">
        <v>90</v>
      </c>
      <c r="C114" s="12" t="s">
        <v>143</v>
      </c>
      <c r="D114" s="12" t="s">
        <v>273</v>
      </c>
      <c r="E114" s="12" t="s">
        <v>328</v>
      </c>
      <c r="F114" s="26">
        <v>285</v>
      </c>
      <c r="G114" s="75"/>
      <c r="H114" s="26">
        <f>F114*AE114</f>
        <v>0</v>
      </c>
      <c r="I114" s="26">
        <f>J114-H114</f>
        <v>0</v>
      </c>
      <c r="J114" s="26">
        <f>F114*G114</f>
        <v>0</v>
      </c>
      <c r="K114" s="26">
        <v>0.14424</v>
      </c>
      <c r="L114" s="26">
        <f>F114*K114</f>
        <v>41.1084</v>
      </c>
      <c r="M114" s="27" t="s">
        <v>353</v>
      </c>
      <c r="P114" s="26">
        <f>IF(AG114="5",J114,0)</f>
        <v>0</v>
      </c>
      <c r="R114" s="26">
        <f>IF(AG114="1",H114,0)</f>
        <v>0</v>
      </c>
      <c r="S114" s="26">
        <f>IF(AG114="1",I114,0)</f>
        <v>0</v>
      </c>
      <c r="T114" s="26">
        <f>IF(AG114="7",H114,0)</f>
        <v>0</v>
      </c>
      <c r="U114" s="26">
        <f>IF(AG114="7",I114,0)</f>
        <v>0</v>
      </c>
      <c r="V114" s="26">
        <f>IF(AG114="2",H114,0)</f>
        <v>0</v>
      </c>
      <c r="W114" s="26">
        <f>IF(AG114="2",I114,0)</f>
        <v>0</v>
      </c>
      <c r="X114" s="26">
        <f>IF(AG114="0",J114,0)</f>
        <v>0</v>
      </c>
      <c r="Y114" s="19" t="s">
        <v>90</v>
      </c>
      <c r="Z114" s="14">
        <f>IF(AD114=0,J114,0)</f>
        <v>0</v>
      </c>
      <c r="AA114" s="14">
        <f>IF(AD114=15,J114,0)</f>
        <v>0</v>
      </c>
      <c r="AB114" s="14">
        <f>IF(AD114=21,J114,0)</f>
        <v>0</v>
      </c>
      <c r="AD114" s="26">
        <v>21</v>
      </c>
      <c r="AE114" s="26">
        <f>G114*0.579733741231975</f>
        <v>0</v>
      </c>
      <c r="AF114" s="26">
        <f>G114*(1-0.579733741231975)</f>
        <v>0</v>
      </c>
      <c r="AG114" s="22" t="s">
        <v>7</v>
      </c>
      <c r="AM114" s="26">
        <f>F114*AE114</f>
        <v>0</v>
      </c>
      <c r="AN114" s="26">
        <f>F114*AF114</f>
        <v>0</v>
      </c>
      <c r="AO114" s="27" t="s">
        <v>379</v>
      </c>
      <c r="AP114" s="27" t="s">
        <v>393</v>
      </c>
      <c r="AQ114" s="19" t="s">
        <v>395</v>
      </c>
      <c r="AS114" s="26">
        <f>AM114+AN114</f>
        <v>0</v>
      </c>
      <c r="AT114" s="26">
        <f>G114/(100-AU114)*100</f>
        <v>0</v>
      </c>
      <c r="AU114" s="26">
        <v>0</v>
      </c>
      <c r="AV114" s="26">
        <f>L114</f>
        <v>41.1084</v>
      </c>
    </row>
    <row r="115" spans="1:13" ht="12.75">
      <c r="A115" s="71"/>
      <c r="B115" s="71"/>
      <c r="C115" s="71"/>
      <c r="D115" s="72" t="s">
        <v>274</v>
      </c>
      <c r="E115" s="71"/>
      <c r="F115" s="73">
        <v>285</v>
      </c>
      <c r="G115" s="71"/>
      <c r="H115" s="71"/>
      <c r="I115" s="71"/>
      <c r="J115" s="71"/>
      <c r="K115" s="71"/>
      <c r="L115" s="71"/>
      <c r="M115" s="71"/>
    </row>
    <row r="116" spans="1:52" s="83" customFormat="1" ht="12.75">
      <c r="A116" s="79" t="s">
        <v>128</v>
      </c>
      <c r="B116" s="79"/>
      <c r="C116" s="79" t="s">
        <v>467</v>
      </c>
      <c r="D116" s="79" t="s">
        <v>468</v>
      </c>
      <c r="E116" s="79" t="s">
        <v>328</v>
      </c>
      <c r="F116" s="80">
        <v>71.4</v>
      </c>
      <c r="G116" s="81"/>
      <c r="H116" s="80">
        <f>F116*AE116</f>
        <v>0</v>
      </c>
      <c r="I116" s="80">
        <f>F116*AF116</f>
        <v>0</v>
      </c>
      <c r="J116" s="80">
        <f>F116*G116</f>
        <v>0</v>
      </c>
      <c r="K116" s="80">
        <v>0</v>
      </c>
      <c r="L116" s="80">
        <f>F116*K116</f>
        <v>0</v>
      </c>
      <c r="M116" s="82" t="s">
        <v>463</v>
      </c>
      <c r="P116" s="80">
        <f>IF(AG116="5",AZ116,0)</f>
        <v>0</v>
      </c>
      <c r="R116" s="80">
        <f>IF(AG116="1",AX116,0)</f>
        <v>0</v>
      </c>
      <c r="S116" s="80">
        <f>IF(AG116="1",AY116,0)</f>
        <v>0</v>
      </c>
      <c r="T116" s="80">
        <f>IF(AG116="7",AX116,0)</f>
        <v>0</v>
      </c>
      <c r="U116" s="80">
        <f>IF(AG116="7",AY116,0)</f>
        <v>0</v>
      </c>
      <c r="V116" s="80">
        <f>IF(AG116="2",AX116,0)</f>
        <v>0</v>
      </c>
      <c r="W116" s="80">
        <f>IF(AG116="2",AY116,0)</f>
        <v>0</v>
      </c>
      <c r="X116" s="80">
        <f>IF(AG116="0",AZ116,0)</f>
        <v>0</v>
      </c>
      <c r="Y116" s="84"/>
      <c r="Z116" s="80">
        <f>IF(AD116=0,J116,0)</f>
        <v>0</v>
      </c>
      <c r="AA116" s="80">
        <f>IF(AD116=15,J116,0)</f>
        <v>0</v>
      </c>
      <c r="AB116" s="80">
        <f>IF(AD116=21,J116,0)</f>
        <v>0</v>
      </c>
      <c r="AD116" s="80">
        <v>21</v>
      </c>
      <c r="AE116" s="80">
        <f>G116*0</f>
        <v>0</v>
      </c>
      <c r="AF116" s="80">
        <f>G116*(1-0)</f>
        <v>0</v>
      </c>
      <c r="AG116" s="82" t="s">
        <v>7</v>
      </c>
      <c r="AL116" s="80">
        <f>AM116+AN116</f>
        <v>0</v>
      </c>
      <c r="AM116" s="80">
        <f>F116*AE116</f>
        <v>0</v>
      </c>
      <c r="AN116" s="80">
        <f>F116*AF116</f>
        <v>0</v>
      </c>
      <c r="AO116" s="82" t="s">
        <v>379</v>
      </c>
      <c r="AP116" s="82" t="s">
        <v>464</v>
      </c>
      <c r="AQ116" s="84" t="s">
        <v>465</v>
      </c>
      <c r="AS116" s="80">
        <f>AM116+AN116</f>
        <v>0</v>
      </c>
      <c r="AT116" s="80">
        <f>G116/(100-AU116)*100</f>
        <v>0</v>
      </c>
      <c r="AU116" s="80">
        <v>0</v>
      </c>
      <c r="AV116" s="80">
        <f>L116</f>
        <v>0</v>
      </c>
      <c r="AX116" s="80">
        <f>F116*AE116</f>
        <v>0</v>
      </c>
      <c r="AY116" s="80">
        <f>F116*AF116</f>
        <v>0</v>
      </c>
      <c r="AZ116" s="80">
        <f>F116*G116</f>
        <v>0</v>
      </c>
    </row>
    <row r="117" spans="1:48" ht="12.75">
      <c r="A117" s="12" t="s">
        <v>58</v>
      </c>
      <c r="B117" s="12" t="s">
        <v>90</v>
      </c>
      <c r="C117" s="12" t="s">
        <v>144</v>
      </c>
      <c r="D117" s="12" t="s">
        <v>275</v>
      </c>
      <c r="E117" s="12" t="s">
        <v>331</v>
      </c>
      <c r="F117" s="26">
        <v>123</v>
      </c>
      <c r="G117" s="75"/>
      <c r="H117" s="26">
        <f>F117*AE117</f>
        <v>0</v>
      </c>
      <c r="I117" s="26">
        <f>J117-H117</f>
        <v>0</v>
      </c>
      <c r="J117" s="26">
        <f>F117*G117</f>
        <v>0</v>
      </c>
      <c r="K117" s="26">
        <v>0.08</v>
      </c>
      <c r="L117" s="26">
        <f>F117*K117</f>
        <v>9.84</v>
      </c>
      <c r="M117" s="27" t="s">
        <v>353</v>
      </c>
      <c r="P117" s="26">
        <f>IF(AG117="5",J117,0)</f>
        <v>0</v>
      </c>
      <c r="R117" s="26">
        <f>IF(AG117="1",H117,0)</f>
        <v>0</v>
      </c>
      <c r="S117" s="26">
        <f>IF(AG117="1",I117,0)</f>
        <v>0</v>
      </c>
      <c r="T117" s="26">
        <f>IF(AG117="7",H117,0)</f>
        <v>0</v>
      </c>
      <c r="U117" s="26">
        <f>IF(AG117="7",I117,0)</f>
        <v>0</v>
      </c>
      <c r="V117" s="26">
        <f>IF(AG117="2",H117,0)</f>
        <v>0</v>
      </c>
      <c r="W117" s="26">
        <f>IF(AG117="2",I117,0)</f>
        <v>0</v>
      </c>
      <c r="X117" s="26">
        <f>IF(AG117="0",J117,0)</f>
        <v>0</v>
      </c>
      <c r="Y117" s="19" t="s">
        <v>90</v>
      </c>
      <c r="Z117" s="16">
        <f>IF(AD117=0,J117,0)</f>
        <v>0</v>
      </c>
      <c r="AA117" s="16">
        <f>IF(AD117=15,J117,0)</f>
        <v>0</v>
      </c>
      <c r="AB117" s="16">
        <f>IF(AD117=21,J117,0)</f>
        <v>0</v>
      </c>
      <c r="AD117" s="26">
        <v>21</v>
      </c>
      <c r="AE117" s="26">
        <f>G117*1</f>
        <v>0</v>
      </c>
      <c r="AF117" s="26">
        <f>G117*(1-1)</f>
        <v>0</v>
      </c>
      <c r="AG117" s="23" t="s">
        <v>7</v>
      </c>
      <c r="AM117" s="26">
        <f>F117*AE117</f>
        <v>0</v>
      </c>
      <c r="AN117" s="26">
        <f>F117*AF117</f>
        <v>0</v>
      </c>
      <c r="AO117" s="27" t="s">
        <v>379</v>
      </c>
      <c r="AP117" s="27" t="s">
        <v>393</v>
      </c>
      <c r="AQ117" s="19" t="s">
        <v>395</v>
      </c>
      <c r="AS117" s="26">
        <f>AM117+AN117</f>
        <v>0</v>
      </c>
      <c r="AT117" s="26">
        <f>G117/(100-AU117)*100</f>
        <v>0</v>
      </c>
      <c r="AU117" s="26">
        <v>0</v>
      </c>
      <c r="AV117" s="26">
        <f>L117</f>
        <v>9.84</v>
      </c>
    </row>
    <row r="118" spans="1:13" ht="12.75">
      <c r="A118" s="71"/>
      <c r="B118" s="71"/>
      <c r="C118" s="71"/>
      <c r="D118" s="72" t="s">
        <v>276</v>
      </c>
      <c r="E118" s="71"/>
      <c r="F118" s="73">
        <v>123</v>
      </c>
      <c r="G118" s="71"/>
      <c r="H118" s="71"/>
      <c r="I118" s="71"/>
      <c r="J118" s="71"/>
      <c r="K118" s="71"/>
      <c r="L118" s="71"/>
      <c r="M118" s="71"/>
    </row>
    <row r="119" spans="1:48" ht="12.75">
      <c r="A119" s="12" t="s">
        <v>59</v>
      </c>
      <c r="B119" s="12" t="s">
        <v>90</v>
      </c>
      <c r="C119" s="12" t="s">
        <v>144</v>
      </c>
      <c r="D119" s="12" t="s">
        <v>456</v>
      </c>
      <c r="E119" s="12" t="s">
        <v>331</v>
      </c>
      <c r="F119" s="26">
        <v>8</v>
      </c>
      <c r="G119" s="75"/>
      <c r="H119" s="26">
        <f>F119*AE119</f>
        <v>0</v>
      </c>
      <c r="I119" s="26">
        <f>J119-H119</f>
        <v>0</v>
      </c>
      <c r="J119" s="26">
        <f>F119*G119</f>
        <v>0</v>
      </c>
      <c r="K119" s="26">
        <v>0.08</v>
      </c>
      <c r="L119" s="26">
        <f>F119*K119</f>
        <v>0.64</v>
      </c>
      <c r="M119" s="27" t="s">
        <v>353</v>
      </c>
      <c r="P119" s="26">
        <f>IF(AG119="5",J119,0)</f>
        <v>0</v>
      </c>
      <c r="R119" s="26">
        <f>IF(AG119="1",H119,0)</f>
        <v>0</v>
      </c>
      <c r="S119" s="26">
        <f>IF(AG119="1",I119,0)</f>
        <v>0</v>
      </c>
      <c r="T119" s="26">
        <f>IF(AG119="7",H119,0)</f>
        <v>0</v>
      </c>
      <c r="U119" s="26">
        <f>IF(AG119="7",I119,0)</f>
        <v>0</v>
      </c>
      <c r="V119" s="26">
        <f>IF(AG119="2",H119,0)</f>
        <v>0</v>
      </c>
      <c r="W119" s="26">
        <f>IF(AG119="2",I119,0)</f>
        <v>0</v>
      </c>
      <c r="X119" s="26">
        <f>IF(AG119="0",J119,0)</f>
        <v>0</v>
      </c>
      <c r="Y119" s="19" t="s">
        <v>90</v>
      </c>
      <c r="Z119" s="16">
        <f>IF(AD119=0,J119,0)</f>
        <v>0</v>
      </c>
      <c r="AA119" s="16">
        <f>IF(AD119=15,J119,0)</f>
        <v>0</v>
      </c>
      <c r="AB119" s="16">
        <f>IF(AD119=21,J119,0)</f>
        <v>0</v>
      </c>
      <c r="AD119" s="26">
        <v>21</v>
      </c>
      <c r="AE119" s="26">
        <f>G119*1</f>
        <v>0</v>
      </c>
      <c r="AF119" s="26">
        <f>G119*(1-1)</f>
        <v>0</v>
      </c>
      <c r="AG119" s="23" t="s">
        <v>7</v>
      </c>
      <c r="AM119" s="26">
        <f>F119*AE119</f>
        <v>0</v>
      </c>
      <c r="AN119" s="26">
        <f>F119*AF119</f>
        <v>0</v>
      </c>
      <c r="AO119" s="27" t="s">
        <v>379</v>
      </c>
      <c r="AP119" s="27" t="s">
        <v>393</v>
      </c>
      <c r="AQ119" s="19" t="s">
        <v>395</v>
      </c>
      <c r="AS119" s="26">
        <f>AM119+AN119</f>
        <v>0</v>
      </c>
      <c r="AT119" s="26">
        <f>G119/(100-AU119)*100</f>
        <v>0</v>
      </c>
      <c r="AU119" s="26">
        <v>0</v>
      </c>
      <c r="AV119" s="26">
        <f>L119</f>
        <v>0.64</v>
      </c>
    </row>
    <row r="120" spans="1:13" ht="12.75">
      <c r="A120" s="71"/>
      <c r="B120" s="71"/>
      <c r="C120" s="71"/>
      <c r="D120" s="72" t="s">
        <v>14</v>
      </c>
      <c r="E120" s="71"/>
      <c r="F120" s="73">
        <v>8</v>
      </c>
      <c r="G120" s="71"/>
      <c r="H120" s="71"/>
      <c r="I120" s="71"/>
      <c r="J120" s="71"/>
      <c r="K120" s="71"/>
      <c r="L120" s="71"/>
      <c r="M120" s="71"/>
    </row>
    <row r="121" spans="1:48" ht="12.75">
      <c r="A121" s="12" t="s">
        <v>60</v>
      </c>
      <c r="B121" s="12" t="s">
        <v>90</v>
      </c>
      <c r="C121" s="12" t="s">
        <v>145</v>
      </c>
      <c r="D121" s="12" t="s">
        <v>277</v>
      </c>
      <c r="E121" s="12" t="s">
        <v>331</v>
      </c>
      <c r="F121" s="26">
        <v>48</v>
      </c>
      <c r="G121" s="75"/>
      <c r="H121" s="26">
        <f>F121*AE121</f>
        <v>0</v>
      </c>
      <c r="I121" s="26">
        <f>J121-H121</f>
        <v>0</v>
      </c>
      <c r="J121" s="26">
        <f>F121*G121</f>
        <v>0</v>
      </c>
      <c r="K121" s="26">
        <v>0.048</v>
      </c>
      <c r="L121" s="26">
        <f>F121*K121</f>
        <v>2.3040000000000003</v>
      </c>
      <c r="M121" s="27" t="s">
        <v>353</v>
      </c>
      <c r="P121" s="26">
        <f>IF(AG121="5",J121,0)</f>
        <v>0</v>
      </c>
      <c r="R121" s="26">
        <f>IF(AG121="1",H121,0)</f>
        <v>0</v>
      </c>
      <c r="S121" s="26">
        <f>IF(AG121="1",I121,0)</f>
        <v>0</v>
      </c>
      <c r="T121" s="26">
        <f>IF(AG121="7",H121,0)</f>
        <v>0</v>
      </c>
      <c r="U121" s="26">
        <f>IF(AG121="7",I121,0)</f>
        <v>0</v>
      </c>
      <c r="V121" s="26">
        <f>IF(AG121="2",H121,0)</f>
        <v>0</v>
      </c>
      <c r="W121" s="26">
        <f>IF(AG121="2",I121,0)</f>
        <v>0</v>
      </c>
      <c r="X121" s="26">
        <f>IF(AG121="0",J121,0)</f>
        <v>0</v>
      </c>
      <c r="Y121" s="19" t="s">
        <v>90</v>
      </c>
      <c r="Z121" s="16">
        <f>IF(AD121=0,J121,0)</f>
        <v>0</v>
      </c>
      <c r="AA121" s="16">
        <f>IF(AD121=15,J121,0)</f>
        <v>0</v>
      </c>
      <c r="AB121" s="16">
        <f>IF(AD121=21,J121,0)</f>
        <v>0</v>
      </c>
      <c r="AD121" s="26">
        <v>21</v>
      </c>
      <c r="AE121" s="26">
        <f>G121*1</f>
        <v>0</v>
      </c>
      <c r="AF121" s="26">
        <f>G121*(1-1)</f>
        <v>0</v>
      </c>
      <c r="AG121" s="23" t="s">
        <v>7</v>
      </c>
      <c r="AM121" s="26">
        <f>F121*AE121</f>
        <v>0</v>
      </c>
      <c r="AN121" s="26">
        <f>F121*AF121</f>
        <v>0</v>
      </c>
      <c r="AO121" s="27" t="s">
        <v>379</v>
      </c>
      <c r="AP121" s="27" t="s">
        <v>393</v>
      </c>
      <c r="AQ121" s="19" t="s">
        <v>395</v>
      </c>
      <c r="AS121" s="26">
        <f>AM121+AN121</f>
        <v>0</v>
      </c>
      <c r="AT121" s="26">
        <f>G121/(100-AU121)*100</f>
        <v>0</v>
      </c>
      <c r="AU121" s="26">
        <v>0</v>
      </c>
      <c r="AV121" s="26">
        <f>L121</f>
        <v>2.3040000000000003</v>
      </c>
    </row>
    <row r="122" spans="1:13" ht="12.75">
      <c r="A122" s="71"/>
      <c r="B122" s="71"/>
      <c r="C122" s="71"/>
      <c r="D122" s="72" t="s">
        <v>54</v>
      </c>
      <c r="E122" s="71"/>
      <c r="F122" s="73">
        <v>48</v>
      </c>
      <c r="G122" s="71"/>
      <c r="H122" s="71"/>
      <c r="I122" s="71"/>
      <c r="J122" s="71"/>
      <c r="K122" s="71"/>
      <c r="L122" s="71"/>
      <c r="M122" s="71"/>
    </row>
    <row r="123" spans="1:48" ht="12.75">
      <c r="A123" s="12" t="s">
        <v>61</v>
      </c>
      <c r="B123" s="12" t="s">
        <v>90</v>
      </c>
      <c r="C123" s="12" t="s">
        <v>146</v>
      </c>
      <c r="D123" s="12" t="s">
        <v>278</v>
      </c>
      <c r="E123" s="12" t="s">
        <v>331</v>
      </c>
      <c r="F123" s="26">
        <v>9</v>
      </c>
      <c r="G123" s="75"/>
      <c r="H123" s="26">
        <f>F123*AE123</f>
        <v>0</v>
      </c>
      <c r="I123" s="26">
        <f>J123-H123</f>
        <v>0</v>
      </c>
      <c r="J123" s="26">
        <f>F123*G123</f>
        <v>0</v>
      </c>
      <c r="K123" s="26">
        <v>0.064</v>
      </c>
      <c r="L123" s="26">
        <f>F123*K123</f>
        <v>0.5760000000000001</v>
      </c>
      <c r="M123" s="27" t="s">
        <v>353</v>
      </c>
      <c r="P123" s="26">
        <f>IF(AG123="5",J123,0)</f>
        <v>0</v>
      </c>
      <c r="R123" s="26">
        <f>IF(AG123="1",H123,0)</f>
        <v>0</v>
      </c>
      <c r="S123" s="26">
        <f>IF(AG123="1",I123,0)</f>
        <v>0</v>
      </c>
      <c r="T123" s="26">
        <f>IF(AG123="7",H123,0)</f>
        <v>0</v>
      </c>
      <c r="U123" s="26">
        <f>IF(AG123="7",I123,0)</f>
        <v>0</v>
      </c>
      <c r="V123" s="26">
        <f>IF(AG123="2",H123,0)</f>
        <v>0</v>
      </c>
      <c r="W123" s="26">
        <f>IF(AG123="2",I123,0)</f>
        <v>0</v>
      </c>
      <c r="X123" s="26">
        <f>IF(AG123="0",J123,0)</f>
        <v>0</v>
      </c>
      <c r="Y123" s="19" t="s">
        <v>90</v>
      </c>
      <c r="Z123" s="16">
        <f>IF(AD123=0,J123,0)</f>
        <v>0</v>
      </c>
      <c r="AA123" s="16">
        <f>IF(AD123=15,J123,0)</f>
        <v>0</v>
      </c>
      <c r="AB123" s="16">
        <f>IF(AD123=21,J123,0)</f>
        <v>0</v>
      </c>
      <c r="AD123" s="26">
        <v>21</v>
      </c>
      <c r="AE123" s="26">
        <f>G123*1</f>
        <v>0</v>
      </c>
      <c r="AF123" s="26">
        <f>G123*(1-1)</f>
        <v>0</v>
      </c>
      <c r="AG123" s="23" t="s">
        <v>7</v>
      </c>
      <c r="AM123" s="26">
        <f>F123*AE123</f>
        <v>0</v>
      </c>
      <c r="AN123" s="26">
        <f>F123*AF123</f>
        <v>0</v>
      </c>
      <c r="AO123" s="27" t="s">
        <v>379</v>
      </c>
      <c r="AP123" s="27" t="s">
        <v>393</v>
      </c>
      <c r="AQ123" s="19" t="s">
        <v>395</v>
      </c>
      <c r="AS123" s="26">
        <f>AM123+AN123</f>
        <v>0</v>
      </c>
      <c r="AT123" s="26">
        <f>G123/(100-AU123)*100</f>
        <v>0</v>
      </c>
      <c r="AU123" s="26">
        <v>0</v>
      </c>
      <c r="AV123" s="26">
        <f>L123</f>
        <v>0.5760000000000001</v>
      </c>
    </row>
    <row r="124" spans="1:48" ht="12.75">
      <c r="A124" s="12" t="s">
        <v>62</v>
      </c>
      <c r="B124" s="12" t="s">
        <v>90</v>
      </c>
      <c r="C124" s="12" t="s">
        <v>147</v>
      </c>
      <c r="D124" s="12" t="s">
        <v>279</v>
      </c>
      <c r="E124" s="12" t="s">
        <v>331</v>
      </c>
      <c r="F124" s="26">
        <v>8</v>
      </c>
      <c r="G124" s="75"/>
      <c r="H124" s="26">
        <f>F124*AE124</f>
        <v>0</v>
      </c>
      <c r="I124" s="26">
        <f>J124-H124</f>
        <v>0</v>
      </c>
      <c r="J124" s="26">
        <f>F124*G124</f>
        <v>0</v>
      </c>
      <c r="K124" s="26">
        <v>0.064</v>
      </c>
      <c r="L124" s="26">
        <f>F124*K124</f>
        <v>0.512</v>
      </c>
      <c r="M124" s="27" t="s">
        <v>353</v>
      </c>
      <c r="P124" s="26">
        <f>IF(AG124="5",J124,0)</f>
        <v>0</v>
      </c>
      <c r="R124" s="26">
        <f>IF(AG124="1",H124,0)</f>
        <v>0</v>
      </c>
      <c r="S124" s="26">
        <f>IF(AG124="1",I124,0)</f>
        <v>0</v>
      </c>
      <c r="T124" s="26">
        <f>IF(AG124="7",H124,0)</f>
        <v>0</v>
      </c>
      <c r="U124" s="26">
        <f>IF(AG124="7",I124,0)</f>
        <v>0</v>
      </c>
      <c r="V124" s="26">
        <f>IF(AG124="2",H124,0)</f>
        <v>0</v>
      </c>
      <c r="W124" s="26">
        <f>IF(AG124="2",I124,0)</f>
        <v>0</v>
      </c>
      <c r="X124" s="26">
        <f>IF(AG124="0",J124,0)</f>
        <v>0</v>
      </c>
      <c r="Y124" s="19" t="s">
        <v>90</v>
      </c>
      <c r="Z124" s="16">
        <f>IF(AD124=0,J124,0)</f>
        <v>0</v>
      </c>
      <c r="AA124" s="16">
        <f>IF(AD124=15,J124,0)</f>
        <v>0</v>
      </c>
      <c r="AB124" s="16">
        <f>IF(AD124=21,J124,0)</f>
        <v>0</v>
      </c>
      <c r="AD124" s="26">
        <v>21</v>
      </c>
      <c r="AE124" s="26">
        <f>G124*1</f>
        <v>0</v>
      </c>
      <c r="AF124" s="26">
        <f>G124*(1-1)</f>
        <v>0</v>
      </c>
      <c r="AG124" s="23" t="s">
        <v>7</v>
      </c>
      <c r="AM124" s="26">
        <f>F124*AE124</f>
        <v>0</v>
      </c>
      <c r="AN124" s="26">
        <f>F124*AF124</f>
        <v>0</v>
      </c>
      <c r="AO124" s="27" t="s">
        <v>379</v>
      </c>
      <c r="AP124" s="27" t="s">
        <v>393</v>
      </c>
      <c r="AQ124" s="19" t="s">
        <v>395</v>
      </c>
      <c r="AS124" s="26">
        <f>AM124+AN124</f>
        <v>0</v>
      </c>
      <c r="AT124" s="26">
        <f>G124/(100-AU124)*100</f>
        <v>0</v>
      </c>
      <c r="AU124" s="26">
        <v>0</v>
      </c>
      <c r="AV124" s="26">
        <f>L124</f>
        <v>0.512</v>
      </c>
    </row>
    <row r="125" spans="1:48" ht="12.75">
      <c r="A125" s="5" t="s">
        <v>63</v>
      </c>
      <c r="B125" s="5" t="s">
        <v>90</v>
      </c>
      <c r="C125" s="5" t="s">
        <v>148</v>
      </c>
      <c r="D125" s="5" t="s">
        <v>280</v>
      </c>
      <c r="E125" s="5" t="s">
        <v>331</v>
      </c>
      <c r="F125" s="16">
        <v>97</v>
      </c>
      <c r="G125" s="77"/>
      <c r="H125" s="16">
        <f>F125*AE125</f>
        <v>0</v>
      </c>
      <c r="I125" s="16">
        <f>J125-H125</f>
        <v>0</v>
      </c>
      <c r="J125" s="16">
        <f>F125*G125</f>
        <v>0</v>
      </c>
      <c r="K125" s="16">
        <v>0.029</v>
      </c>
      <c r="L125" s="16">
        <f>F125*K125</f>
        <v>2.813</v>
      </c>
      <c r="M125" s="23" t="s">
        <v>353</v>
      </c>
      <c r="P125" s="26">
        <f>IF(AG125="5",J125,0)</f>
        <v>0</v>
      </c>
      <c r="R125" s="26">
        <f>IF(AG125="1",H125,0)</f>
        <v>0</v>
      </c>
      <c r="S125" s="26">
        <f>IF(AG125="1",I125,0)</f>
        <v>0</v>
      </c>
      <c r="T125" s="26">
        <f>IF(AG125="7",H125,0)</f>
        <v>0</v>
      </c>
      <c r="U125" s="26">
        <f>IF(AG125="7",I125,0)</f>
        <v>0</v>
      </c>
      <c r="V125" s="26">
        <f>IF(AG125="2",H125,0)</f>
        <v>0</v>
      </c>
      <c r="W125" s="26">
        <f>IF(AG125="2",I125,0)</f>
        <v>0</v>
      </c>
      <c r="X125" s="26">
        <f>IF(AG125="0",J125,0)</f>
        <v>0</v>
      </c>
      <c r="Y125" s="19" t="s">
        <v>90</v>
      </c>
      <c r="Z125" s="16">
        <f>IF(AD125=0,J125,0)</f>
        <v>0</v>
      </c>
      <c r="AA125" s="16">
        <f>IF(AD125=15,J125,0)</f>
        <v>0</v>
      </c>
      <c r="AB125" s="16">
        <f>IF(AD125=21,J125,0)</f>
        <v>0</v>
      </c>
      <c r="AD125" s="26">
        <v>21</v>
      </c>
      <c r="AE125" s="26">
        <f>G125*1</f>
        <v>0</v>
      </c>
      <c r="AF125" s="26">
        <f>G125*(1-1)</f>
        <v>0</v>
      </c>
      <c r="AG125" s="23" t="s">
        <v>7</v>
      </c>
      <c r="AM125" s="26">
        <f>F125*AE125</f>
        <v>0</v>
      </c>
      <c r="AN125" s="26">
        <f>F125*AF125</f>
        <v>0</v>
      </c>
      <c r="AO125" s="27" t="s">
        <v>379</v>
      </c>
      <c r="AP125" s="27" t="s">
        <v>393</v>
      </c>
      <c r="AQ125" s="19" t="s">
        <v>395</v>
      </c>
      <c r="AS125" s="26">
        <f>AM125+AN125</f>
        <v>0</v>
      </c>
      <c r="AT125" s="26">
        <f>G125/(100-AU125)*100</f>
        <v>0</v>
      </c>
      <c r="AU125" s="26">
        <v>0</v>
      </c>
      <c r="AV125" s="26">
        <f>L125</f>
        <v>2.813</v>
      </c>
    </row>
    <row r="126" spans="1:37" ht="12.75">
      <c r="A126" s="67"/>
      <c r="B126" s="68" t="s">
        <v>90</v>
      </c>
      <c r="C126" s="68" t="s">
        <v>149</v>
      </c>
      <c r="D126" s="68" t="s">
        <v>281</v>
      </c>
      <c r="E126" s="67" t="s">
        <v>6</v>
      </c>
      <c r="F126" s="67" t="s">
        <v>6</v>
      </c>
      <c r="G126" s="67" t="s">
        <v>6</v>
      </c>
      <c r="H126" s="69">
        <f>SUM(H127:H127)</f>
        <v>0</v>
      </c>
      <c r="I126" s="69">
        <f>SUM(I127:I127)</f>
        <v>0</v>
      </c>
      <c r="J126" s="69">
        <f>H126+I126</f>
        <v>0</v>
      </c>
      <c r="K126" s="70"/>
      <c r="L126" s="69">
        <f>SUM(L127:L127)</f>
        <v>0.0221</v>
      </c>
      <c r="M126" s="70"/>
      <c r="Y126" s="19" t="s">
        <v>90</v>
      </c>
      <c r="AI126" s="28">
        <f>SUM(Z127:Z127)</f>
        <v>0</v>
      </c>
      <c r="AJ126" s="28">
        <f>SUM(AA127:AA127)</f>
        <v>0</v>
      </c>
      <c r="AK126" s="28">
        <f>SUM(AB127:AB127)</f>
        <v>0</v>
      </c>
    </row>
    <row r="127" spans="1:48" ht="12.75">
      <c r="A127" s="12" t="s">
        <v>64</v>
      </c>
      <c r="B127" s="12" t="s">
        <v>90</v>
      </c>
      <c r="C127" s="12" t="s">
        <v>150</v>
      </c>
      <c r="D127" s="12" t="s">
        <v>282</v>
      </c>
      <c r="E127" s="12" t="s">
        <v>334</v>
      </c>
      <c r="F127" s="26">
        <v>22.1</v>
      </c>
      <c r="G127" s="75"/>
      <c r="H127" s="26">
        <f>F127*AE127</f>
        <v>0</v>
      </c>
      <c r="I127" s="26">
        <f>J127-H127</f>
        <v>0</v>
      </c>
      <c r="J127" s="26">
        <f>F127*G127</f>
        <v>0</v>
      </c>
      <c r="K127" s="26">
        <v>0.001</v>
      </c>
      <c r="L127" s="26">
        <f>F127*K127</f>
        <v>0.0221</v>
      </c>
      <c r="M127" s="27" t="s">
        <v>353</v>
      </c>
      <c r="P127" s="26">
        <f>IF(AG127="5",J127,0)</f>
        <v>0</v>
      </c>
      <c r="R127" s="26">
        <f>IF(AG127="1",H127,0)</f>
        <v>0</v>
      </c>
      <c r="S127" s="26">
        <f>IF(AG127="1",I127,0)</f>
        <v>0</v>
      </c>
      <c r="T127" s="26">
        <f>IF(AG127="7",H127,0)</f>
        <v>0</v>
      </c>
      <c r="U127" s="26">
        <f>IF(AG127="7",I127,0)</f>
        <v>0</v>
      </c>
      <c r="V127" s="26">
        <f>IF(AG127="2",H127,0)</f>
        <v>0</v>
      </c>
      <c r="W127" s="26">
        <f>IF(AG127="2",I127,0)</f>
        <v>0</v>
      </c>
      <c r="X127" s="26">
        <f>IF(AG127="0",J127,0)</f>
        <v>0</v>
      </c>
      <c r="Y127" s="19" t="s">
        <v>90</v>
      </c>
      <c r="Z127" s="14">
        <f>IF(AD127=0,J127,0)</f>
        <v>0</v>
      </c>
      <c r="AA127" s="14">
        <f>IF(AD127=15,J127,0)</f>
        <v>0</v>
      </c>
      <c r="AB127" s="14">
        <f>IF(AD127=21,J127,0)</f>
        <v>0</v>
      </c>
      <c r="AD127" s="26">
        <v>21</v>
      </c>
      <c r="AE127" s="26">
        <f>G127*0.531677598665926</f>
        <v>0</v>
      </c>
      <c r="AF127" s="26">
        <f>G127*(1-0.531677598665926)</f>
        <v>0</v>
      </c>
      <c r="AG127" s="22" t="s">
        <v>7</v>
      </c>
      <c r="AM127" s="26">
        <f>F127*AE127</f>
        <v>0</v>
      </c>
      <c r="AN127" s="26">
        <f>F127*AF127</f>
        <v>0</v>
      </c>
      <c r="AO127" s="27" t="s">
        <v>380</v>
      </c>
      <c r="AP127" s="27" t="s">
        <v>393</v>
      </c>
      <c r="AQ127" s="19" t="s">
        <v>395</v>
      </c>
      <c r="AS127" s="26">
        <f>AM127+AN127</f>
        <v>0</v>
      </c>
      <c r="AT127" s="26">
        <f>G127/(100-AU127)*100</f>
        <v>0</v>
      </c>
      <c r="AU127" s="26">
        <v>0</v>
      </c>
      <c r="AV127" s="26">
        <f>L127</f>
        <v>0.0221</v>
      </c>
    </row>
    <row r="128" spans="1:13" ht="12.75">
      <c r="A128" s="71"/>
      <c r="B128" s="71"/>
      <c r="C128" s="71"/>
      <c r="D128" s="72" t="s">
        <v>283</v>
      </c>
      <c r="E128" s="71"/>
      <c r="F128" s="73">
        <v>22.1</v>
      </c>
      <c r="G128" s="71"/>
      <c r="H128" s="71"/>
      <c r="I128" s="71"/>
      <c r="J128" s="71"/>
      <c r="K128" s="71"/>
      <c r="L128" s="71"/>
      <c r="M128" s="71"/>
    </row>
    <row r="129" spans="1:37" ht="12.75">
      <c r="A129" s="67"/>
      <c r="B129" s="68" t="s">
        <v>90</v>
      </c>
      <c r="C129" s="68" t="s">
        <v>151</v>
      </c>
      <c r="D129" s="68" t="s">
        <v>284</v>
      </c>
      <c r="E129" s="67" t="s">
        <v>6</v>
      </c>
      <c r="F129" s="67" t="s">
        <v>6</v>
      </c>
      <c r="G129" s="67" t="s">
        <v>6</v>
      </c>
      <c r="H129" s="69">
        <f>SUM(H130:H137)</f>
        <v>0</v>
      </c>
      <c r="I129" s="69">
        <f>SUM(I130:I137)</f>
        <v>0</v>
      </c>
      <c r="J129" s="69">
        <f>H129+I129</f>
        <v>0</v>
      </c>
      <c r="K129" s="70"/>
      <c r="L129" s="69">
        <f>SUM(L130:L137)</f>
        <v>0</v>
      </c>
      <c r="M129" s="70"/>
      <c r="Y129" s="19" t="s">
        <v>90</v>
      </c>
      <c r="AI129" s="28">
        <f>SUM(Z130:Z137)</f>
        <v>0</v>
      </c>
      <c r="AJ129" s="28">
        <f>SUM(AA130:AA137)</f>
        <v>0</v>
      </c>
      <c r="AK129" s="28">
        <f>SUM(AB130:AB137)</f>
        <v>0</v>
      </c>
    </row>
    <row r="130" spans="1:48" ht="12.75">
      <c r="A130" s="12" t="s">
        <v>65</v>
      </c>
      <c r="B130" s="12" t="s">
        <v>90</v>
      </c>
      <c r="C130" s="12" t="s">
        <v>152</v>
      </c>
      <c r="D130" s="12" t="s">
        <v>285</v>
      </c>
      <c r="E130" s="12" t="s">
        <v>330</v>
      </c>
      <c r="F130" s="26">
        <v>322.53</v>
      </c>
      <c r="G130" s="75"/>
      <c r="H130" s="26">
        <f>F130*AE130</f>
        <v>0</v>
      </c>
      <c r="I130" s="26">
        <f>J130-H130</f>
        <v>0</v>
      </c>
      <c r="J130" s="26">
        <f>F130*G130</f>
        <v>0</v>
      </c>
      <c r="K130" s="26">
        <v>0</v>
      </c>
      <c r="L130" s="26">
        <f>F130*K130</f>
        <v>0</v>
      </c>
      <c r="M130" s="27" t="s">
        <v>353</v>
      </c>
      <c r="P130" s="26">
        <f>IF(AG130="5",J130,0)</f>
        <v>0</v>
      </c>
      <c r="R130" s="26">
        <f>IF(AG130="1",H130,0)</f>
        <v>0</v>
      </c>
      <c r="S130" s="26">
        <f>IF(AG130="1",I130,0)</f>
        <v>0</v>
      </c>
      <c r="T130" s="26">
        <f>IF(AG130="7",H130,0)</f>
        <v>0</v>
      </c>
      <c r="U130" s="26">
        <f>IF(AG130="7",I130,0)</f>
        <v>0</v>
      </c>
      <c r="V130" s="26">
        <f>IF(AG130="2",H130,0)</f>
        <v>0</v>
      </c>
      <c r="W130" s="26">
        <f>IF(AG130="2",I130,0)</f>
        <v>0</v>
      </c>
      <c r="X130" s="26">
        <f>IF(AG130="0",J130,0)</f>
        <v>0</v>
      </c>
      <c r="Y130" s="19" t="s">
        <v>90</v>
      </c>
      <c r="Z130" s="14">
        <f>IF(AD130=0,J130,0)</f>
        <v>0</v>
      </c>
      <c r="AA130" s="14">
        <f>IF(AD130=15,J130,0)</f>
        <v>0</v>
      </c>
      <c r="AB130" s="14">
        <f>IF(AD130=21,J130,0)</f>
        <v>0</v>
      </c>
      <c r="AD130" s="26">
        <v>21</v>
      </c>
      <c r="AE130" s="26">
        <f>G130*0</f>
        <v>0</v>
      </c>
      <c r="AF130" s="26">
        <f>G130*(1-0)</f>
        <v>0</v>
      </c>
      <c r="AG130" s="22" t="s">
        <v>11</v>
      </c>
      <c r="AM130" s="26">
        <f>F130*AE130</f>
        <v>0</v>
      </c>
      <c r="AN130" s="26">
        <f>F130*AF130</f>
        <v>0</v>
      </c>
      <c r="AO130" s="27" t="s">
        <v>381</v>
      </c>
      <c r="AP130" s="27" t="s">
        <v>393</v>
      </c>
      <c r="AQ130" s="19" t="s">
        <v>395</v>
      </c>
      <c r="AS130" s="26">
        <f>AM130+AN130</f>
        <v>0</v>
      </c>
      <c r="AT130" s="26">
        <f>G130/(100-AU130)*100</f>
        <v>0</v>
      </c>
      <c r="AU130" s="26">
        <v>0</v>
      </c>
      <c r="AV130" s="26">
        <f>L130</f>
        <v>0</v>
      </c>
    </row>
    <row r="131" spans="1:48" ht="12.75">
      <c r="A131" s="12" t="s">
        <v>66</v>
      </c>
      <c r="B131" s="12" t="s">
        <v>90</v>
      </c>
      <c r="C131" s="12" t="s">
        <v>153</v>
      </c>
      <c r="D131" s="12" t="s">
        <v>286</v>
      </c>
      <c r="E131" s="12" t="s">
        <v>330</v>
      </c>
      <c r="F131" s="26">
        <v>645.06</v>
      </c>
      <c r="G131" s="75"/>
      <c r="H131" s="26">
        <f>F131*AE131</f>
        <v>0</v>
      </c>
      <c r="I131" s="26">
        <f>J131-H131</f>
        <v>0</v>
      </c>
      <c r="J131" s="26">
        <f>F131*G131</f>
        <v>0</v>
      </c>
      <c r="K131" s="26">
        <v>0</v>
      </c>
      <c r="L131" s="26">
        <f>F131*K131</f>
        <v>0</v>
      </c>
      <c r="M131" s="27" t="s">
        <v>353</v>
      </c>
      <c r="P131" s="26">
        <f>IF(AG131="5",J131,0)</f>
        <v>0</v>
      </c>
      <c r="R131" s="26">
        <f>IF(AG131="1",H131,0)</f>
        <v>0</v>
      </c>
      <c r="S131" s="26">
        <f>IF(AG131="1",I131,0)</f>
        <v>0</v>
      </c>
      <c r="T131" s="26">
        <f>IF(AG131="7",H131,0)</f>
        <v>0</v>
      </c>
      <c r="U131" s="26">
        <f>IF(AG131="7",I131,0)</f>
        <v>0</v>
      </c>
      <c r="V131" s="26">
        <f>IF(AG131="2",H131,0)</f>
        <v>0</v>
      </c>
      <c r="W131" s="26">
        <f>IF(AG131="2",I131,0)</f>
        <v>0</v>
      </c>
      <c r="X131" s="26">
        <f>IF(AG131="0",J131,0)</f>
        <v>0</v>
      </c>
      <c r="Y131" s="19" t="s">
        <v>90</v>
      </c>
      <c r="Z131" s="14">
        <f>IF(AD131=0,J131,0)</f>
        <v>0</v>
      </c>
      <c r="AA131" s="14">
        <f>IF(AD131=15,J131,0)</f>
        <v>0</v>
      </c>
      <c r="AB131" s="14">
        <f>IF(AD131=21,J131,0)</f>
        <v>0</v>
      </c>
      <c r="AD131" s="26">
        <v>21</v>
      </c>
      <c r="AE131" s="26">
        <f>G131*0</f>
        <v>0</v>
      </c>
      <c r="AF131" s="26">
        <f>G131*(1-0)</f>
        <v>0</v>
      </c>
      <c r="AG131" s="22" t="s">
        <v>11</v>
      </c>
      <c r="AM131" s="26">
        <f>F131*AE131</f>
        <v>0</v>
      </c>
      <c r="AN131" s="26">
        <f>F131*AF131</f>
        <v>0</v>
      </c>
      <c r="AO131" s="27" t="s">
        <v>381</v>
      </c>
      <c r="AP131" s="27" t="s">
        <v>393</v>
      </c>
      <c r="AQ131" s="19" t="s">
        <v>395</v>
      </c>
      <c r="AS131" s="26">
        <f>AM131+AN131</f>
        <v>0</v>
      </c>
      <c r="AT131" s="26">
        <f>G131/(100-AU131)*100</f>
        <v>0</v>
      </c>
      <c r="AU131" s="26">
        <v>0</v>
      </c>
      <c r="AV131" s="26">
        <f>L131</f>
        <v>0</v>
      </c>
    </row>
    <row r="132" spans="1:13" ht="12.75">
      <c r="A132" s="71"/>
      <c r="B132" s="71"/>
      <c r="C132" s="71"/>
      <c r="D132" s="72" t="s">
        <v>287</v>
      </c>
      <c r="E132" s="71"/>
      <c r="F132" s="73">
        <v>645.06</v>
      </c>
      <c r="G132" s="71"/>
      <c r="H132" s="71"/>
      <c r="I132" s="71"/>
      <c r="J132" s="71"/>
      <c r="K132" s="71"/>
      <c r="L132" s="71"/>
      <c r="M132" s="71"/>
    </row>
    <row r="133" spans="1:48" ht="12.75">
      <c r="A133" s="12" t="s">
        <v>67</v>
      </c>
      <c r="B133" s="12" t="s">
        <v>90</v>
      </c>
      <c r="C133" s="12" t="s">
        <v>154</v>
      </c>
      <c r="D133" s="12" t="s">
        <v>288</v>
      </c>
      <c r="E133" s="12" t="s">
        <v>330</v>
      </c>
      <c r="F133" s="26">
        <v>134.2</v>
      </c>
      <c r="G133" s="75"/>
      <c r="H133" s="26">
        <f>F133*AE133</f>
        <v>0</v>
      </c>
      <c r="I133" s="26">
        <f>J133-H133</f>
        <v>0</v>
      </c>
      <c r="J133" s="26">
        <f>F133*G133</f>
        <v>0</v>
      </c>
      <c r="K133" s="26">
        <v>0</v>
      </c>
      <c r="L133" s="26">
        <f>F133*K133</f>
        <v>0</v>
      </c>
      <c r="M133" s="27" t="s">
        <v>353</v>
      </c>
      <c r="P133" s="26">
        <f>IF(AG133="5",J133,0)</f>
        <v>0</v>
      </c>
      <c r="R133" s="26">
        <f>IF(AG133="1",H133,0)</f>
        <v>0</v>
      </c>
      <c r="S133" s="26">
        <f>IF(AG133="1",I133,0)</f>
        <v>0</v>
      </c>
      <c r="T133" s="26">
        <f>IF(AG133="7",H133,0)</f>
        <v>0</v>
      </c>
      <c r="U133" s="26">
        <f>IF(AG133="7",I133,0)</f>
        <v>0</v>
      </c>
      <c r="V133" s="26">
        <f>IF(AG133="2",H133,0)</f>
        <v>0</v>
      </c>
      <c r="W133" s="26">
        <f>IF(AG133="2",I133,0)</f>
        <v>0</v>
      </c>
      <c r="X133" s="26">
        <f>IF(AG133="0",J133,0)</f>
        <v>0</v>
      </c>
      <c r="Y133" s="19" t="s">
        <v>90</v>
      </c>
      <c r="Z133" s="14">
        <f>IF(AD133=0,J133,0)</f>
        <v>0</v>
      </c>
      <c r="AA133" s="14">
        <f>IF(AD133=15,J133,0)</f>
        <v>0</v>
      </c>
      <c r="AB133" s="14">
        <f>IF(AD133=21,J133,0)</f>
        <v>0</v>
      </c>
      <c r="AD133" s="26">
        <v>21</v>
      </c>
      <c r="AE133" s="26">
        <f>G133*0</f>
        <v>0</v>
      </c>
      <c r="AF133" s="26">
        <f>G133*(1-0)</f>
        <v>0</v>
      </c>
      <c r="AG133" s="22" t="s">
        <v>11</v>
      </c>
      <c r="AM133" s="26">
        <f>F133*AE133</f>
        <v>0</v>
      </c>
      <c r="AN133" s="26">
        <f>F133*AF133</f>
        <v>0</v>
      </c>
      <c r="AO133" s="27" t="s">
        <v>381</v>
      </c>
      <c r="AP133" s="27" t="s">
        <v>393</v>
      </c>
      <c r="AQ133" s="19" t="s">
        <v>395</v>
      </c>
      <c r="AS133" s="26">
        <f>AM133+AN133</f>
        <v>0</v>
      </c>
      <c r="AT133" s="26">
        <f>G133/(100-AU133)*100</f>
        <v>0</v>
      </c>
      <c r="AU133" s="26">
        <v>0</v>
      </c>
      <c r="AV133" s="26">
        <f>L133</f>
        <v>0</v>
      </c>
    </row>
    <row r="134" spans="1:48" ht="12.75">
      <c r="A134" s="12" t="s">
        <v>68</v>
      </c>
      <c r="B134" s="12" t="s">
        <v>90</v>
      </c>
      <c r="C134" s="12" t="s">
        <v>155</v>
      </c>
      <c r="D134" s="12" t="s">
        <v>289</v>
      </c>
      <c r="E134" s="12" t="s">
        <v>330</v>
      </c>
      <c r="F134" s="26">
        <v>268.4</v>
      </c>
      <c r="G134" s="75"/>
      <c r="H134" s="26">
        <f>F134*AE134</f>
        <v>0</v>
      </c>
      <c r="I134" s="26">
        <f>J134-H134</f>
        <v>0</v>
      </c>
      <c r="J134" s="26">
        <f>F134*G134</f>
        <v>0</v>
      </c>
      <c r="K134" s="26">
        <v>0</v>
      </c>
      <c r="L134" s="26">
        <f>F134*K134</f>
        <v>0</v>
      </c>
      <c r="M134" s="27" t="s">
        <v>353</v>
      </c>
      <c r="P134" s="26">
        <f>IF(AG134="5",J134,0)</f>
        <v>0</v>
      </c>
      <c r="R134" s="26">
        <f>IF(AG134="1",H134,0)</f>
        <v>0</v>
      </c>
      <c r="S134" s="26">
        <f>IF(AG134="1",I134,0)</f>
        <v>0</v>
      </c>
      <c r="T134" s="26">
        <f>IF(AG134="7",H134,0)</f>
        <v>0</v>
      </c>
      <c r="U134" s="26">
        <f>IF(AG134="7",I134,0)</f>
        <v>0</v>
      </c>
      <c r="V134" s="26">
        <f>IF(AG134="2",H134,0)</f>
        <v>0</v>
      </c>
      <c r="W134" s="26">
        <f>IF(AG134="2",I134,0)</f>
        <v>0</v>
      </c>
      <c r="X134" s="26">
        <f>IF(AG134="0",J134,0)</f>
        <v>0</v>
      </c>
      <c r="Y134" s="19" t="s">
        <v>90</v>
      </c>
      <c r="Z134" s="14">
        <f>IF(AD134=0,J134,0)</f>
        <v>0</v>
      </c>
      <c r="AA134" s="14">
        <f>IF(AD134=15,J134,0)</f>
        <v>0</v>
      </c>
      <c r="AB134" s="14">
        <f>IF(AD134=21,J134,0)</f>
        <v>0</v>
      </c>
      <c r="AD134" s="26">
        <v>21</v>
      </c>
      <c r="AE134" s="26">
        <f>G134*0</f>
        <v>0</v>
      </c>
      <c r="AF134" s="26">
        <f>G134*(1-0)</f>
        <v>0</v>
      </c>
      <c r="AG134" s="22" t="s">
        <v>11</v>
      </c>
      <c r="AM134" s="26">
        <f>F134*AE134</f>
        <v>0</v>
      </c>
      <c r="AN134" s="26">
        <f>F134*AF134</f>
        <v>0</v>
      </c>
      <c r="AO134" s="27" t="s">
        <v>381</v>
      </c>
      <c r="AP134" s="27" t="s">
        <v>393</v>
      </c>
      <c r="AQ134" s="19" t="s">
        <v>395</v>
      </c>
      <c r="AS134" s="26">
        <f>AM134+AN134</f>
        <v>0</v>
      </c>
      <c r="AT134" s="26">
        <f>G134/(100-AU134)*100</f>
        <v>0</v>
      </c>
      <c r="AU134" s="26">
        <v>0</v>
      </c>
      <c r="AV134" s="26">
        <f>L134</f>
        <v>0</v>
      </c>
    </row>
    <row r="135" spans="1:13" ht="12.75">
      <c r="A135" s="71"/>
      <c r="B135" s="71"/>
      <c r="C135" s="71"/>
      <c r="D135" s="72" t="s">
        <v>290</v>
      </c>
      <c r="E135" s="71"/>
      <c r="F135" s="73">
        <v>268.4</v>
      </c>
      <c r="G135" s="71"/>
      <c r="H135" s="71"/>
      <c r="I135" s="71"/>
      <c r="J135" s="71"/>
      <c r="K135" s="71"/>
      <c r="L135" s="71"/>
      <c r="M135" s="71"/>
    </row>
    <row r="136" spans="1:48" ht="12.75">
      <c r="A136" s="12" t="s">
        <v>69</v>
      </c>
      <c r="B136" s="12" t="s">
        <v>90</v>
      </c>
      <c r="C136" s="12" t="s">
        <v>156</v>
      </c>
      <c r="D136" s="12" t="s">
        <v>291</v>
      </c>
      <c r="E136" s="12" t="s">
        <v>330</v>
      </c>
      <c r="F136" s="26">
        <v>212.17</v>
      </c>
      <c r="G136" s="75"/>
      <c r="H136" s="26">
        <f>F136*AE136</f>
        <v>0</v>
      </c>
      <c r="I136" s="26">
        <f>J136-H136</f>
        <v>0</v>
      </c>
      <c r="J136" s="26">
        <f>F136*G136</f>
        <v>0</v>
      </c>
      <c r="K136" s="26">
        <v>0</v>
      </c>
      <c r="L136" s="26">
        <f>F136*K136</f>
        <v>0</v>
      </c>
      <c r="M136" s="27" t="s">
        <v>353</v>
      </c>
      <c r="P136" s="26">
        <f>IF(AG136="5",J136,0)</f>
        <v>0</v>
      </c>
      <c r="R136" s="26">
        <f>IF(AG136="1",H136,0)</f>
        <v>0</v>
      </c>
      <c r="S136" s="26">
        <f>IF(AG136="1",I136,0)</f>
        <v>0</v>
      </c>
      <c r="T136" s="26">
        <f>IF(AG136="7",H136,0)</f>
        <v>0</v>
      </c>
      <c r="U136" s="26">
        <f>IF(AG136="7",I136,0)</f>
        <v>0</v>
      </c>
      <c r="V136" s="26">
        <f>IF(AG136="2",H136,0)</f>
        <v>0</v>
      </c>
      <c r="W136" s="26">
        <f>IF(AG136="2",I136,0)</f>
        <v>0</v>
      </c>
      <c r="X136" s="26">
        <f>IF(AG136="0",J136,0)</f>
        <v>0</v>
      </c>
      <c r="Y136" s="19" t="s">
        <v>90</v>
      </c>
      <c r="Z136" s="14">
        <f>IF(AD136=0,J136,0)</f>
        <v>0</v>
      </c>
      <c r="AA136" s="14">
        <f>IF(AD136=15,J136,0)</f>
        <v>0</v>
      </c>
      <c r="AB136" s="14">
        <f>IF(AD136=21,J136,0)</f>
        <v>0</v>
      </c>
      <c r="AD136" s="26">
        <v>21</v>
      </c>
      <c r="AE136" s="26">
        <f>G136*0</f>
        <v>0</v>
      </c>
      <c r="AF136" s="26">
        <f>G136*(1-0)</f>
        <v>0</v>
      </c>
      <c r="AG136" s="22" t="s">
        <v>11</v>
      </c>
      <c r="AM136" s="26">
        <f>F136*AE136</f>
        <v>0</v>
      </c>
      <c r="AN136" s="26">
        <f>F136*AF136</f>
        <v>0</v>
      </c>
      <c r="AO136" s="27" t="s">
        <v>381</v>
      </c>
      <c r="AP136" s="27" t="s">
        <v>393</v>
      </c>
      <c r="AQ136" s="19" t="s">
        <v>395</v>
      </c>
      <c r="AS136" s="26">
        <f>AM136+AN136</f>
        <v>0</v>
      </c>
      <c r="AT136" s="26">
        <f>G136/(100-AU136)*100</f>
        <v>0</v>
      </c>
      <c r="AU136" s="26">
        <v>0</v>
      </c>
      <c r="AV136" s="26">
        <f>L136</f>
        <v>0</v>
      </c>
    </row>
    <row r="137" spans="1:48" ht="12.75">
      <c r="A137" s="12" t="s">
        <v>70</v>
      </c>
      <c r="B137" s="12" t="s">
        <v>90</v>
      </c>
      <c r="C137" s="12" t="s">
        <v>157</v>
      </c>
      <c r="D137" s="12" t="s">
        <v>292</v>
      </c>
      <c r="E137" s="12" t="s">
        <v>330</v>
      </c>
      <c r="F137" s="26">
        <v>1697.36</v>
      </c>
      <c r="G137" s="75"/>
      <c r="H137" s="26">
        <f>F137*AE137</f>
        <v>0</v>
      </c>
      <c r="I137" s="26">
        <f>J137-H137</f>
        <v>0</v>
      </c>
      <c r="J137" s="26">
        <f>F137*G137</f>
        <v>0</v>
      </c>
      <c r="K137" s="26">
        <v>0</v>
      </c>
      <c r="L137" s="26">
        <f>F137*K137</f>
        <v>0</v>
      </c>
      <c r="M137" s="27" t="s">
        <v>353</v>
      </c>
      <c r="P137" s="26">
        <f>IF(AG137="5",J137,0)</f>
        <v>0</v>
      </c>
      <c r="R137" s="26">
        <f>IF(AG137="1",H137,0)</f>
        <v>0</v>
      </c>
      <c r="S137" s="26">
        <f>IF(AG137="1",I137,0)</f>
        <v>0</v>
      </c>
      <c r="T137" s="26">
        <f>IF(AG137="7",H137,0)</f>
        <v>0</v>
      </c>
      <c r="U137" s="26">
        <f>IF(AG137="7",I137,0)</f>
        <v>0</v>
      </c>
      <c r="V137" s="26">
        <f>IF(AG137="2",H137,0)</f>
        <v>0</v>
      </c>
      <c r="W137" s="26">
        <f>IF(AG137="2",I137,0)</f>
        <v>0</v>
      </c>
      <c r="X137" s="26">
        <f>IF(AG137="0",J137,0)</f>
        <v>0</v>
      </c>
      <c r="Y137" s="19" t="s">
        <v>90</v>
      </c>
      <c r="Z137" s="14">
        <f>IF(AD137=0,J137,0)</f>
        <v>0</v>
      </c>
      <c r="AA137" s="14">
        <f>IF(AD137=15,J137,0)</f>
        <v>0</v>
      </c>
      <c r="AB137" s="14">
        <f>IF(AD137=21,J137,0)</f>
        <v>0</v>
      </c>
      <c r="AD137" s="26">
        <v>21</v>
      </c>
      <c r="AE137" s="26">
        <f>G137*0</f>
        <v>0</v>
      </c>
      <c r="AF137" s="26">
        <f>G137*(1-0)</f>
        <v>0</v>
      </c>
      <c r="AG137" s="22" t="s">
        <v>11</v>
      </c>
      <c r="AM137" s="26">
        <f>F137*AE137</f>
        <v>0</v>
      </c>
      <c r="AN137" s="26">
        <f>F137*AF137</f>
        <v>0</v>
      </c>
      <c r="AO137" s="27" t="s">
        <v>381</v>
      </c>
      <c r="AP137" s="27" t="s">
        <v>393</v>
      </c>
      <c r="AQ137" s="19" t="s">
        <v>395</v>
      </c>
      <c r="AS137" s="26">
        <f>AM137+AN137</f>
        <v>0</v>
      </c>
      <c r="AT137" s="26">
        <f>G137/(100-AU137)*100</f>
        <v>0</v>
      </c>
      <c r="AU137" s="26">
        <v>0</v>
      </c>
      <c r="AV137" s="26">
        <f>L137</f>
        <v>0</v>
      </c>
    </row>
    <row r="138" spans="1:13" ht="12.75">
      <c r="A138" s="71"/>
      <c r="B138" s="71"/>
      <c r="C138" s="71"/>
      <c r="D138" s="72" t="s">
        <v>293</v>
      </c>
      <c r="E138" s="71"/>
      <c r="F138" s="73">
        <v>1697.36</v>
      </c>
      <c r="G138" s="71"/>
      <c r="H138" s="71"/>
      <c r="I138" s="71"/>
      <c r="J138" s="71"/>
      <c r="K138" s="71"/>
      <c r="L138" s="71"/>
      <c r="M138" s="71"/>
    </row>
    <row r="139" spans="1:37" ht="12.75">
      <c r="A139" s="67"/>
      <c r="B139" s="68" t="s">
        <v>90</v>
      </c>
      <c r="C139" s="68" t="s">
        <v>158</v>
      </c>
      <c r="D139" s="68" t="s">
        <v>294</v>
      </c>
      <c r="E139" s="67" t="s">
        <v>6</v>
      </c>
      <c r="F139" s="67" t="s">
        <v>6</v>
      </c>
      <c r="G139" s="67" t="s">
        <v>6</v>
      </c>
      <c r="H139" s="69">
        <f>SUM(H140:H140)</f>
        <v>0</v>
      </c>
      <c r="I139" s="69">
        <f>SUM(I140:I140)</f>
        <v>0</v>
      </c>
      <c r="J139" s="69">
        <f>H139+I139</f>
        <v>0</v>
      </c>
      <c r="K139" s="70"/>
      <c r="L139" s="69">
        <f>SUM(L140:L140)</f>
        <v>0</v>
      </c>
      <c r="M139" s="70"/>
      <c r="Y139" s="19" t="s">
        <v>90</v>
      </c>
      <c r="AI139" s="28">
        <f>SUM(Z140:Z140)</f>
        <v>0</v>
      </c>
      <c r="AJ139" s="28">
        <f>SUM(AA140:AA140)</f>
        <v>0</v>
      </c>
      <c r="AK139" s="28">
        <f>SUM(AB140:AB140)</f>
        <v>0</v>
      </c>
    </row>
    <row r="140" spans="1:48" ht="12.75">
      <c r="A140" s="12" t="s">
        <v>71</v>
      </c>
      <c r="B140" s="12" t="s">
        <v>90</v>
      </c>
      <c r="C140" s="12" t="s">
        <v>159</v>
      </c>
      <c r="D140" s="12" t="s">
        <v>295</v>
      </c>
      <c r="E140" s="12" t="s">
        <v>330</v>
      </c>
      <c r="F140" s="26">
        <v>0.21</v>
      </c>
      <c r="G140" s="75"/>
      <c r="H140" s="26">
        <f>F140*AE140</f>
        <v>0</v>
      </c>
      <c r="I140" s="26">
        <f>J140-H140</f>
        <v>0</v>
      </c>
      <c r="J140" s="26">
        <f>F140*G140</f>
        <v>0</v>
      </c>
      <c r="K140" s="26">
        <v>0</v>
      </c>
      <c r="L140" s="26">
        <f>F140*K140</f>
        <v>0</v>
      </c>
      <c r="M140" s="27" t="s">
        <v>353</v>
      </c>
      <c r="P140" s="26">
        <f>IF(AG140="5",J140,0)</f>
        <v>0</v>
      </c>
      <c r="R140" s="26">
        <f>IF(AG140="1",H140,0)</f>
        <v>0</v>
      </c>
      <c r="S140" s="26">
        <f>IF(AG140="1",I140,0)</f>
        <v>0</v>
      </c>
      <c r="T140" s="26">
        <f>IF(AG140="7",H140,0)</f>
        <v>0</v>
      </c>
      <c r="U140" s="26">
        <f>IF(AG140="7",I140,0)</f>
        <v>0</v>
      </c>
      <c r="V140" s="26">
        <f>IF(AG140="2",H140,0)</f>
        <v>0</v>
      </c>
      <c r="W140" s="26">
        <f>IF(AG140="2",I140,0)</f>
        <v>0</v>
      </c>
      <c r="X140" s="26">
        <f>IF(AG140="0",J140,0)</f>
        <v>0</v>
      </c>
      <c r="Y140" s="19" t="s">
        <v>90</v>
      </c>
      <c r="Z140" s="14">
        <f>IF(AD140=0,J140,0)</f>
        <v>0</v>
      </c>
      <c r="AA140" s="14">
        <f>IF(AD140=15,J140,0)</f>
        <v>0</v>
      </c>
      <c r="AB140" s="14">
        <f>IF(AD140=21,J140,0)</f>
        <v>0</v>
      </c>
      <c r="AD140" s="26">
        <v>21</v>
      </c>
      <c r="AE140" s="26">
        <f>G140*0</f>
        <v>0</v>
      </c>
      <c r="AF140" s="26">
        <f>G140*(1-0)</f>
        <v>0</v>
      </c>
      <c r="AG140" s="22" t="s">
        <v>11</v>
      </c>
      <c r="AM140" s="26">
        <f>F140*AE140</f>
        <v>0</v>
      </c>
      <c r="AN140" s="26">
        <f>F140*AF140</f>
        <v>0</v>
      </c>
      <c r="AO140" s="27" t="s">
        <v>382</v>
      </c>
      <c r="AP140" s="27" t="s">
        <v>393</v>
      </c>
      <c r="AQ140" s="19" t="s">
        <v>395</v>
      </c>
      <c r="AS140" s="26">
        <f>AM140+AN140</f>
        <v>0</v>
      </c>
      <c r="AT140" s="26">
        <f>G140/(100-AU140)*100</f>
        <v>0</v>
      </c>
      <c r="AU140" s="26">
        <v>0</v>
      </c>
      <c r="AV140" s="26">
        <f>L140</f>
        <v>0</v>
      </c>
    </row>
    <row r="141" spans="1:37" ht="12.75">
      <c r="A141" s="67"/>
      <c r="B141" s="68" t="s">
        <v>90</v>
      </c>
      <c r="C141" s="68" t="s">
        <v>160</v>
      </c>
      <c r="D141" s="68" t="s">
        <v>296</v>
      </c>
      <c r="E141" s="67" t="s">
        <v>6</v>
      </c>
      <c r="F141" s="67" t="s">
        <v>6</v>
      </c>
      <c r="G141" s="67" t="s">
        <v>6</v>
      </c>
      <c r="H141" s="69">
        <f>SUM(H142:H145)</f>
        <v>0</v>
      </c>
      <c r="I141" s="69">
        <f>SUM(I142:I145)</f>
        <v>0</v>
      </c>
      <c r="J141" s="69">
        <f>H141+I141</f>
        <v>0</v>
      </c>
      <c r="K141" s="70"/>
      <c r="L141" s="69">
        <f>SUM(L142:L143)</f>
        <v>0.020569999999999998</v>
      </c>
      <c r="M141" s="70"/>
      <c r="Y141" s="19" t="s">
        <v>90</v>
      </c>
      <c r="AI141" s="28">
        <f>SUM(Z142:Z143)</f>
        <v>0</v>
      </c>
      <c r="AJ141" s="28">
        <f>SUM(AA142:AA143)</f>
        <v>0</v>
      </c>
      <c r="AK141" s="28">
        <f>SUM(AB142:AB143)</f>
        <v>0</v>
      </c>
    </row>
    <row r="142" spans="1:48" ht="12.75">
      <c r="A142" s="12" t="s">
        <v>72</v>
      </c>
      <c r="B142" s="12" t="s">
        <v>90</v>
      </c>
      <c r="C142" s="12" t="s">
        <v>161</v>
      </c>
      <c r="D142" s="12" t="s">
        <v>297</v>
      </c>
      <c r="E142" s="12" t="s">
        <v>328</v>
      </c>
      <c r="F142" s="26">
        <v>17</v>
      </c>
      <c r="G142" s="75"/>
      <c r="H142" s="26">
        <f>F142*AE142</f>
        <v>0</v>
      </c>
      <c r="I142" s="26">
        <f>J142-H142</f>
        <v>0</v>
      </c>
      <c r="J142" s="26">
        <f>F142*G142</f>
        <v>0</v>
      </c>
      <c r="K142" s="26">
        <v>0</v>
      </c>
      <c r="L142" s="26">
        <f>F142*K142</f>
        <v>0</v>
      </c>
      <c r="M142" s="27" t="s">
        <v>353</v>
      </c>
      <c r="P142" s="26">
        <f>IF(AG142="5",J142,0)</f>
        <v>0</v>
      </c>
      <c r="R142" s="26">
        <f>IF(AG142="1",H142,0)</f>
        <v>0</v>
      </c>
      <c r="S142" s="26">
        <f>IF(AG142="1",I142,0)</f>
        <v>0</v>
      </c>
      <c r="T142" s="26">
        <f>IF(AG142="7",H142,0)</f>
        <v>0</v>
      </c>
      <c r="U142" s="26">
        <f>IF(AG142="7",I142,0)</f>
        <v>0</v>
      </c>
      <c r="V142" s="26">
        <f>IF(AG142="2",H142,0)</f>
        <v>0</v>
      </c>
      <c r="W142" s="26">
        <f>IF(AG142="2",I142,0)</f>
        <v>0</v>
      </c>
      <c r="X142" s="26">
        <f>IF(AG142="0",J142,0)</f>
        <v>0</v>
      </c>
      <c r="Y142" s="19" t="s">
        <v>90</v>
      </c>
      <c r="Z142" s="14">
        <f>IF(AD142=0,J142,0)</f>
        <v>0</v>
      </c>
      <c r="AA142" s="14">
        <f>IF(AD142=15,J142,0)</f>
        <v>0</v>
      </c>
      <c r="AB142" s="14">
        <f>IF(AD142=21,J142,0)</f>
        <v>0</v>
      </c>
      <c r="AD142" s="26">
        <v>21</v>
      </c>
      <c r="AE142" s="26">
        <f>G142*0</f>
        <v>0</v>
      </c>
      <c r="AF142" s="26">
        <f>G142*(1-0)</f>
        <v>0</v>
      </c>
      <c r="AG142" s="22" t="s">
        <v>8</v>
      </c>
      <c r="AM142" s="26">
        <f>F142*AE142</f>
        <v>0</v>
      </c>
      <c r="AN142" s="26">
        <f>F142*AF142</f>
        <v>0</v>
      </c>
      <c r="AO142" s="27" t="s">
        <v>383</v>
      </c>
      <c r="AP142" s="27" t="s">
        <v>393</v>
      </c>
      <c r="AQ142" s="19" t="s">
        <v>395</v>
      </c>
      <c r="AS142" s="26">
        <f>AM142+AN142</f>
        <v>0</v>
      </c>
      <c r="AT142" s="26">
        <f>G142/(100-AU142)*100</f>
        <v>0</v>
      </c>
      <c r="AU142" s="26">
        <v>0</v>
      </c>
      <c r="AV142" s="26">
        <f>L142</f>
        <v>0</v>
      </c>
    </row>
    <row r="143" spans="1:48" ht="12.75">
      <c r="A143" s="12" t="s">
        <v>73</v>
      </c>
      <c r="B143" s="12" t="s">
        <v>90</v>
      </c>
      <c r="C143" s="12" t="s">
        <v>162</v>
      </c>
      <c r="D143" s="12" t="s">
        <v>298</v>
      </c>
      <c r="E143" s="12" t="s">
        <v>328</v>
      </c>
      <c r="F143" s="26">
        <v>17</v>
      </c>
      <c r="G143" s="75"/>
      <c r="H143" s="26">
        <f>F143*AE143</f>
        <v>0</v>
      </c>
      <c r="I143" s="26">
        <f>J143-H143</f>
        <v>0</v>
      </c>
      <c r="J143" s="26">
        <f>F143*G143</f>
        <v>0</v>
      </c>
      <c r="K143" s="26">
        <v>0.00121</v>
      </c>
      <c r="L143" s="26">
        <f>F143*K143</f>
        <v>0.020569999999999998</v>
      </c>
      <c r="M143" s="27" t="s">
        <v>353</v>
      </c>
      <c r="P143" s="26">
        <f>IF(AG143="5",J143,0)</f>
        <v>0</v>
      </c>
      <c r="R143" s="26">
        <f>IF(AG143="1",H143,0)</f>
        <v>0</v>
      </c>
      <c r="S143" s="26">
        <f>IF(AG143="1",I143,0)</f>
        <v>0</v>
      </c>
      <c r="T143" s="26">
        <f>IF(AG143="7",H143,0)</f>
        <v>0</v>
      </c>
      <c r="U143" s="26">
        <f>IF(AG143="7",I143,0)</f>
        <v>0</v>
      </c>
      <c r="V143" s="26">
        <f>IF(AG143="2",H143,0)</f>
        <v>0</v>
      </c>
      <c r="W143" s="26">
        <f>IF(AG143="2",I143,0)</f>
        <v>0</v>
      </c>
      <c r="X143" s="26">
        <f>IF(AG143="0",J143,0)</f>
        <v>0</v>
      </c>
      <c r="Y143" s="19" t="s">
        <v>90</v>
      </c>
      <c r="Z143" s="16">
        <f>IF(AD143=0,J143,0)</f>
        <v>0</v>
      </c>
      <c r="AA143" s="16">
        <f>IF(AD143=15,J143,0)</f>
        <v>0</v>
      </c>
      <c r="AB143" s="16">
        <f>IF(AD143=21,J143,0)</f>
        <v>0</v>
      </c>
      <c r="AD143" s="26">
        <v>21</v>
      </c>
      <c r="AE143" s="26">
        <f>G143*1</f>
        <v>0</v>
      </c>
      <c r="AF143" s="26">
        <f>G143*(1-1)</f>
        <v>0</v>
      </c>
      <c r="AG143" s="23" t="s">
        <v>7</v>
      </c>
      <c r="AM143" s="26">
        <f>F143*AE143</f>
        <v>0</v>
      </c>
      <c r="AN143" s="26">
        <f>F143*AF143</f>
        <v>0</v>
      </c>
      <c r="AO143" s="27" t="s">
        <v>383</v>
      </c>
      <c r="AP143" s="27" t="s">
        <v>393</v>
      </c>
      <c r="AQ143" s="19" t="s">
        <v>395</v>
      </c>
      <c r="AS143" s="26">
        <f>AM143+AN143</f>
        <v>0</v>
      </c>
      <c r="AT143" s="26">
        <f>G143/(100-AU143)*100</f>
        <v>0</v>
      </c>
      <c r="AU143" s="26">
        <v>0</v>
      </c>
      <c r="AV143" s="26">
        <f>L143</f>
        <v>0.020569999999999998</v>
      </c>
    </row>
    <row r="144" spans="1:48" ht="12.75">
      <c r="A144" s="12" t="s">
        <v>74</v>
      </c>
      <c r="B144" s="12" t="s">
        <v>90</v>
      </c>
      <c r="C144" s="12" t="s">
        <v>161</v>
      </c>
      <c r="D144" s="12" t="s">
        <v>454</v>
      </c>
      <c r="E144" s="12" t="s">
        <v>328</v>
      </c>
      <c r="F144" s="26">
        <v>7</v>
      </c>
      <c r="G144" s="75"/>
      <c r="H144" s="26">
        <f>F144*AE144</f>
        <v>0</v>
      </c>
      <c r="I144" s="26">
        <f>J144-H144</f>
        <v>0</v>
      </c>
      <c r="J144" s="26">
        <f>F144*G144</f>
        <v>0</v>
      </c>
      <c r="K144" s="26">
        <v>0</v>
      </c>
      <c r="L144" s="26">
        <f>F144*K144</f>
        <v>0</v>
      </c>
      <c r="M144" s="27" t="s">
        <v>353</v>
      </c>
      <c r="P144" s="26">
        <f>IF(AG144="5",J144,0)</f>
        <v>0</v>
      </c>
      <c r="R144" s="26">
        <f>IF(AG144="1",H144,0)</f>
        <v>0</v>
      </c>
      <c r="S144" s="26">
        <f>IF(AG144="1",I144,0)</f>
        <v>0</v>
      </c>
      <c r="T144" s="26">
        <f>IF(AG144="7",H144,0)</f>
        <v>0</v>
      </c>
      <c r="U144" s="26">
        <f>IF(AG144="7",I144,0)</f>
        <v>0</v>
      </c>
      <c r="V144" s="26">
        <f>IF(AG144="2",H144,0)</f>
        <v>0</v>
      </c>
      <c r="W144" s="26">
        <f>IF(AG144="2",I144,0)</f>
        <v>0</v>
      </c>
      <c r="X144" s="26">
        <f>IF(AG144="0",J144,0)</f>
        <v>0</v>
      </c>
      <c r="Y144" s="19" t="s">
        <v>90</v>
      </c>
      <c r="Z144" s="14">
        <f>IF(AD144=0,J144,0)</f>
        <v>0</v>
      </c>
      <c r="AA144" s="14">
        <f>IF(AD144=15,J144,0)</f>
        <v>0</v>
      </c>
      <c r="AB144" s="14">
        <f>IF(AD144=21,J144,0)</f>
        <v>0</v>
      </c>
      <c r="AD144" s="26">
        <v>21</v>
      </c>
      <c r="AE144" s="26">
        <f>G144*0</f>
        <v>0</v>
      </c>
      <c r="AF144" s="26">
        <f>G144*(1-0)</f>
        <v>0</v>
      </c>
      <c r="AG144" s="22" t="s">
        <v>8</v>
      </c>
      <c r="AM144" s="26">
        <f>F144*AE144</f>
        <v>0</v>
      </c>
      <c r="AN144" s="26">
        <f>F144*AF144</f>
        <v>0</v>
      </c>
      <c r="AO144" s="27" t="s">
        <v>383</v>
      </c>
      <c r="AP144" s="27" t="s">
        <v>393</v>
      </c>
      <c r="AQ144" s="19" t="s">
        <v>395</v>
      </c>
      <c r="AS144" s="26">
        <f>AM144+AN144</f>
        <v>0</v>
      </c>
      <c r="AT144" s="26">
        <f>G144/(100-AU144)*100</f>
        <v>0</v>
      </c>
      <c r="AU144" s="26">
        <v>0</v>
      </c>
      <c r="AV144" s="26">
        <f>L144</f>
        <v>0</v>
      </c>
    </row>
    <row r="145" spans="1:48" ht="12.75">
      <c r="A145" s="12" t="s">
        <v>75</v>
      </c>
      <c r="B145" s="12" t="s">
        <v>90</v>
      </c>
      <c r="C145" s="12" t="s">
        <v>162</v>
      </c>
      <c r="D145" s="12" t="s">
        <v>455</v>
      </c>
      <c r="E145" s="12" t="s">
        <v>328</v>
      </c>
      <c r="F145" s="26">
        <v>7</v>
      </c>
      <c r="G145" s="75"/>
      <c r="H145" s="26">
        <f>F145*AE145</f>
        <v>0</v>
      </c>
      <c r="I145" s="26">
        <f>J145-H145</f>
        <v>0</v>
      </c>
      <c r="J145" s="26">
        <f>F145*G145</f>
        <v>0</v>
      </c>
      <c r="K145" s="26">
        <v>0.00121</v>
      </c>
      <c r="L145" s="26">
        <f>F145*K145</f>
        <v>0.00847</v>
      </c>
      <c r="M145" s="27" t="s">
        <v>353</v>
      </c>
      <c r="P145" s="26">
        <f>IF(AG145="5",J145,0)</f>
        <v>0</v>
      </c>
      <c r="R145" s="26">
        <f>IF(AG145="1",H145,0)</f>
        <v>0</v>
      </c>
      <c r="S145" s="26">
        <f>IF(AG145="1",I145,0)</f>
        <v>0</v>
      </c>
      <c r="T145" s="26">
        <f>IF(AG145="7",H145,0)</f>
        <v>0</v>
      </c>
      <c r="U145" s="26">
        <f>IF(AG145="7",I145,0)</f>
        <v>0</v>
      </c>
      <c r="V145" s="26">
        <f>IF(AG145="2",H145,0)</f>
        <v>0</v>
      </c>
      <c r="W145" s="26">
        <f>IF(AG145="2",I145,0)</f>
        <v>0</v>
      </c>
      <c r="X145" s="26">
        <f>IF(AG145="0",J145,0)</f>
        <v>0</v>
      </c>
      <c r="Y145" s="19" t="s">
        <v>90</v>
      </c>
      <c r="Z145" s="16">
        <f>IF(AD145=0,J145,0)</f>
        <v>0</v>
      </c>
      <c r="AA145" s="16">
        <f>IF(AD145=15,J145,0)</f>
        <v>0</v>
      </c>
      <c r="AB145" s="16">
        <f>IF(AD145=21,J145,0)</f>
        <v>0</v>
      </c>
      <c r="AD145" s="26">
        <v>21</v>
      </c>
      <c r="AE145" s="26">
        <f>G145*1</f>
        <v>0</v>
      </c>
      <c r="AF145" s="26">
        <f>G145*(1-1)</f>
        <v>0</v>
      </c>
      <c r="AG145" s="23" t="s">
        <v>7</v>
      </c>
      <c r="AM145" s="26">
        <f>F145*AE145</f>
        <v>0</v>
      </c>
      <c r="AN145" s="26">
        <f>F145*AF145</f>
        <v>0</v>
      </c>
      <c r="AO145" s="27" t="s">
        <v>383</v>
      </c>
      <c r="AP145" s="27" t="s">
        <v>393</v>
      </c>
      <c r="AQ145" s="19" t="s">
        <v>395</v>
      </c>
      <c r="AS145" s="26">
        <f>AM145+AN145</f>
        <v>0</v>
      </c>
      <c r="AT145" s="26">
        <f>G145/(100-AU145)*100</f>
        <v>0</v>
      </c>
      <c r="AU145" s="26">
        <v>0</v>
      </c>
      <c r="AV145" s="26">
        <f>L145</f>
        <v>0.00847</v>
      </c>
    </row>
    <row r="146" spans="1:37" ht="12.75">
      <c r="A146" s="67"/>
      <c r="B146" s="68" t="s">
        <v>90</v>
      </c>
      <c r="C146" s="68" t="s">
        <v>163</v>
      </c>
      <c r="D146" s="68" t="s">
        <v>299</v>
      </c>
      <c r="E146" s="67" t="s">
        <v>6</v>
      </c>
      <c r="F146" s="67" t="s">
        <v>6</v>
      </c>
      <c r="G146" s="67" t="s">
        <v>6</v>
      </c>
      <c r="H146" s="69">
        <f>SUM(H147:H154)</f>
        <v>0</v>
      </c>
      <c r="I146" s="69">
        <f>SUM(I147:I154)</f>
        <v>0</v>
      </c>
      <c r="J146" s="69">
        <f>H146+I146</f>
        <v>0</v>
      </c>
      <c r="K146" s="70"/>
      <c r="L146" s="69">
        <f>SUM(L147:L153)</f>
        <v>2.21422</v>
      </c>
      <c r="M146" s="70"/>
      <c r="Y146" s="19" t="s">
        <v>90</v>
      </c>
      <c r="AI146" s="28">
        <f>SUM(Z147:Z153)</f>
        <v>0</v>
      </c>
      <c r="AJ146" s="28">
        <f>SUM(AA147:AA153)</f>
        <v>0</v>
      </c>
      <c r="AK146" s="28">
        <f>SUM(AB147:AB153)</f>
        <v>0</v>
      </c>
    </row>
    <row r="147" spans="1:48" ht="12.75">
      <c r="A147" s="12" t="s">
        <v>76</v>
      </c>
      <c r="B147" s="12" t="s">
        <v>90</v>
      </c>
      <c r="C147" s="12" t="s">
        <v>164</v>
      </c>
      <c r="D147" s="12" t="s">
        <v>300</v>
      </c>
      <c r="E147" s="12" t="s">
        <v>327</v>
      </c>
      <c r="F147" s="26">
        <v>180</v>
      </c>
      <c r="G147" s="75"/>
      <c r="H147" s="26">
        <f>F147*AE147</f>
        <v>0</v>
      </c>
      <c r="I147" s="26">
        <f>J147-H147</f>
        <v>0</v>
      </c>
      <c r="J147" s="26">
        <f>F147*G147</f>
        <v>0</v>
      </c>
      <c r="K147" s="26">
        <v>2E-05</v>
      </c>
      <c r="L147" s="26">
        <f>F147*K147</f>
        <v>0.0036000000000000003</v>
      </c>
      <c r="M147" s="27" t="s">
        <v>353</v>
      </c>
      <c r="P147" s="26">
        <f>IF(AG147="5",J147,0)</f>
        <v>0</v>
      </c>
      <c r="R147" s="26">
        <f>IF(AG147="1",H147,0)</f>
        <v>0</v>
      </c>
      <c r="S147" s="26">
        <f>IF(AG147="1",I147,0)</f>
        <v>0</v>
      </c>
      <c r="T147" s="26">
        <f>IF(AG147="7",H147,0)</f>
        <v>0</v>
      </c>
      <c r="U147" s="26">
        <f>IF(AG147="7",I147,0)</f>
        <v>0</v>
      </c>
      <c r="V147" s="26">
        <f>IF(AG147="2",H147,0)</f>
        <v>0</v>
      </c>
      <c r="W147" s="26">
        <f>IF(AG147="2",I147,0)</f>
        <v>0</v>
      </c>
      <c r="X147" s="26">
        <f>IF(AG147="0",J147,0)</f>
        <v>0</v>
      </c>
      <c r="Y147" s="19" t="s">
        <v>90</v>
      </c>
      <c r="Z147" s="14">
        <f>IF(AD147=0,J147,0)</f>
        <v>0</v>
      </c>
      <c r="AA147" s="14">
        <f>IF(AD147=15,J147,0)</f>
        <v>0</v>
      </c>
      <c r="AB147" s="14">
        <f>IF(AD147=21,J147,0)</f>
        <v>0</v>
      </c>
      <c r="AD147" s="26">
        <v>21</v>
      </c>
      <c r="AE147" s="26">
        <f>G147*0.129787234042553</f>
        <v>0</v>
      </c>
      <c r="AF147" s="26">
        <f>G147*(1-0.129787234042553)</f>
        <v>0</v>
      </c>
      <c r="AG147" s="22" t="s">
        <v>8</v>
      </c>
      <c r="AM147" s="26">
        <f>F147*AE147</f>
        <v>0</v>
      </c>
      <c r="AN147" s="26">
        <f>F147*AF147</f>
        <v>0</v>
      </c>
      <c r="AO147" s="27" t="s">
        <v>384</v>
      </c>
      <c r="AP147" s="27" t="s">
        <v>393</v>
      </c>
      <c r="AQ147" s="19" t="s">
        <v>395</v>
      </c>
      <c r="AS147" s="26">
        <f>AM147+AN147</f>
        <v>0</v>
      </c>
      <c r="AT147" s="26">
        <f>G147/(100-AU147)*100</f>
        <v>0</v>
      </c>
      <c r="AU147" s="26">
        <v>0</v>
      </c>
      <c r="AV147" s="26">
        <f>L147</f>
        <v>0.0036000000000000003</v>
      </c>
    </row>
    <row r="148" spans="1:13" ht="12.75">
      <c r="A148" s="71"/>
      <c r="B148" s="71"/>
      <c r="C148" s="71"/>
      <c r="D148" s="72" t="s">
        <v>301</v>
      </c>
      <c r="E148" s="71"/>
      <c r="F148" s="73">
        <v>180</v>
      </c>
      <c r="G148" s="71"/>
      <c r="H148" s="71"/>
      <c r="I148" s="71"/>
      <c r="J148" s="71"/>
      <c r="K148" s="71"/>
      <c r="L148" s="71"/>
      <c r="M148" s="71"/>
    </row>
    <row r="149" spans="1:48" ht="12.75">
      <c r="A149" s="12" t="s">
        <v>77</v>
      </c>
      <c r="B149" s="12" t="s">
        <v>90</v>
      </c>
      <c r="C149" s="12" t="s">
        <v>165</v>
      </c>
      <c r="D149" s="12" t="s">
        <v>302</v>
      </c>
      <c r="E149" s="12" t="s">
        <v>335</v>
      </c>
      <c r="F149" s="26">
        <v>0.5</v>
      </c>
      <c r="G149" s="75"/>
      <c r="H149" s="26">
        <f>F149*AE149</f>
        <v>0</v>
      </c>
      <c r="I149" s="26">
        <f>J149-H149</f>
        <v>0</v>
      </c>
      <c r="J149" s="26">
        <f>F149*G149</f>
        <v>0</v>
      </c>
      <c r="K149" s="26">
        <v>0</v>
      </c>
      <c r="L149" s="26">
        <f>F149*K149</f>
        <v>0</v>
      </c>
      <c r="M149" s="27" t="s">
        <v>353</v>
      </c>
      <c r="P149" s="26">
        <f>IF(AG149="5",J149,0)</f>
        <v>0</v>
      </c>
      <c r="R149" s="26">
        <f>IF(AG149="1",H149,0)</f>
        <v>0</v>
      </c>
      <c r="S149" s="26">
        <f>IF(AG149="1",I149,0)</f>
        <v>0</v>
      </c>
      <c r="T149" s="26">
        <f>IF(AG149="7",H149,0)</f>
        <v>0</v>
      </c>
      <c r="U149" s="26">
        <f>IF(AG149="7",I149,0)</f>
        <v>0</v>
      </c>
      <c r="V149" s="26">
        <f>IF(AG149="2",H149,0)</f>
        <v>0</v>
      </c>
      <c r="W149" s="26">
        <f>IF(AG149="2",I149,0)</f>
        <v>0</v>
      </c>
      <c r="X149" s="26">
        <f>IF(AG149="0",J149,0)</f>
        <v>0</v>
      </c>
      <c r="Y149" s="19" t="s">
        <v>90</v>
      </c>
      <c r="Z149" s="14">
        <f>IF(AD149=0,J149,0)</f>
        <v>0</v>
      </c>
      <c r="AA149" s="14">
        <f>IF(AD149=15,J149,0)</f>
        <v>0</v>
      </c>
      <c r="AB149" s="14">
        <f>IF(AD149=21,J149,0)</f>
        <v>0</v>
      </c>
      <c r="AD149" s="26">
        <v>21</v>
      </c>
      <c r="AE149" s="26">
        <f>G149*0</f>
        <v>0</v>
      </c>
      <c r="AF149" s="26">
        <f>G149*(1-0)</f>
        <v>0</v>
      </c>
      <c r="AG149" s="22" t="s">
        <v>8</v>
      </c>
      <c r="AM149" s="26">
        <f>F149*AE149</f>
        <v>0</v>
      </c>
      <c r="AN149" s="26">
        <f>F149*AF149</f>
        <v>0</v>
      </c>
      <c r="AO149" s="27" t="s">
        <v>384</v>
      </c>
      <c r="AP149" s="27" t="s">
        <v>393</v>
      </c>
      <c r="AQ149" s="19" t="s">
        <v>395</v>
      </c>
      <c r="AS149" s="26">
        <f>AM149+AN149</f>
        <v>0</v>
      </c>
      <c r="AT149" s="26">
        <f>G149/(100-AU149)*100</f>
        <v>0</v>
      </c>
      <c r="AU149" s="26">
        <v>0</v>
      </c>
      <c r="AV149" s="26">
        <f>L149</f>
        <v>0</v>
      </c>
    </row>
    <row r="150" spans="1:13" ht="12.75">
      <c r="A150" s="71"/>
      <c r="B150" s="71"/>
      <c r="C150" s="71"/>
      <c r="D150" s="72" t="s">
        <v>303</v>
      </c>
      <c r="E150" s="71"/>
      <c r="F150" s="73">
        <v>0.5</v>
      </c>
      <c r="G150" s="71"/>
      <c r="H150" s="71"/>
      <c r="I150" s="71"/>
      <c r="J150" s="71"/>
      <c r="K150" s="71"/>
      <c r="L150" s="71"/>
      <c r="M150" s="71"/>
    </row>
    <row r="151" spans="1:48" ht="12.75">
      <c r="A151" s="12" t="s">
        <v>78</v>
      </c>
      <c r="B151" s="12" t="s">
        <v>90</v>
      </c>
      <c r="C151" s="12" t="s">
        <v>166</v>
      </c>
      <c r="D151" s="12" t="s">
        <v>304</v>
      </c>
      <c r="E151" s="12" t="s">
        <v>335</v>
      </c>
      <c r="F151" s="26">
        <v>0.5</v>
      </c>
      <c r="G151" s="75"/>
      <c r="H151" s="26">
        <f>F151*AE151</f>
        <v>0</v>
      </c>
      <c r="I151" s="26">
        <f>J151-H151</f>
        <v>0</v>
      </c>
      <c r="J151" s="26">
        <f>F151*G151</f>
        <v>0</v>
      </c>
      <c r="K151" s="26">
        <v>0.01124</v>
      </c>
      <c r="L151" s="26">
        <f>F151*K151</f>
        <v>0.00562</v>
      </c>
      <c r="M151" s="27" t="s">
        <v>353</v>
      </c>
      <c r="P151" s="26">
        <f>IF(AG151="5",J151,0)</f>
        <v>0</v>
      </c>
      <c r="R151" s="26">
        <f>IF(AG151="1",H151,0)</f>
        <v>0</v>
      </c>
      <c r="S151" s="26">
        <f>IF(AG151="1",I151,0)</f>
        <v>0</v>
      </c>
      <c r="T151" s="26">
        <f>IF(AG151="7",H151,0)</f>
        <v>0</v>
      </c>
      <c r="U151" s="26">
        <f>IF(AG151="7",I151,0)</f>
        <v>0</v>
      </c>
      <c r="V151" s="26">
        <f>IF(AG151="2",H151,0)</f>
        <v>0</v>
      </c>
      <c r="W151" s="26">
        <f>IF(AG151="2",I151,0)</f>
        <v>0</v>
      </c>
      <c r="X151" s="26">
        <f>IF(AG151="0",J151,0)</f>
        <v>0</v>
      </c>
      <c r="Y151" s="19" t="s">
        <v>90</v>
      </c>
      <c r="Z151" s="14">
        <f>IF(AD151=0,J151,0)</f>
        <v>0</v>
      </c>
      <c r="AA151" s="14">
        <f>IF(AD151=15,J151,0)</f>
        <v>0</v>
      </c>
      <c r="AB151" s="14">
        <f>IF(AD151=21,J151,0)</f>
        <v>0</v>
      </c>
      <c r="AD151" s="26">
        <v>21</v>
      </c>
      <c r="AE151" s="26">
        <f>G151*0.114106412005457</f>
        <v>0</v>
      </c>
      <c r="AF151" s="26">
        <f>G151*(1-0.114106412005457)</f>
        <v>0</v>
      </c>
      <c r="AG151" s="22" t="s">
        <v>8</v>
      </c>
      <c r="AM151" s="26">
        <f>F151*AE151</f>
        <v>0</v>
      </c>
      <c r="AN151" s="26">
        <f>F151*AF151</f>
        <v>0</v>
      </c>
      <c r="AO151" s="27" t="s">
        <v>384</v>
      </c>
      <c r="AP151" s="27" t="s">
        <v>393</v>
      </c>
      <c r="AQ151" s="19" t="s">
        <v>395</v>
      </c>
      <c r="AS151" s="26">
        <f>AM151+AN151</f>
        <v>0</v>
      </c>
      <c r="AT151" s="26">
        <f>G151/(100-AU151)*100</f>
        <v>0</v>
      </c>
      <c r="AU151" s="26">
        <v>0</v>
      </c>
      <c r="AV151" s="26">
        <f>L151</f>
        <v>0.00562</v>
      </c>
    </row>
    <row r="152" spans="1:13" ht="12.75">
      <c r="A152" s="71"/>
      <c r="B152" s="71"/>
      <c r="C152" s="71"/>
      <c r="D152" s="72" t="s">
        <v>303</v>
      </c>
      <c r="E152" s="71"/>
      <c r="F152" s="73">
        <v>0.5</v>
      </c>
      <c r="G152" s="71"/>
      <c r="H152" s="71"/>
      <c r="I152" s="71"/>
      <c r="J152" s="71"/>
      <c r="K152" s="71"/>
      <c r="L152" s="71"/>
      <c r="M152" s="71"/>
    </row>
    <row r="153" spans="1:48" ht="12.75">
      <c r="A153" s="4" t="s">
        <v>79</v>
      </c>
      <c r="B153" s="4" t="s">
        <v>90</v>
      </c>
      <c r="C153" s="4" t="s">
        <v>167</v>
      </c>
      <c r="D153" s="4" t="s">
        <v>305</v>
      </c>
      <c r="E153" s="4" t="s">
        <v>328</v>
      </c>
      <c r="F153" s="14">
        <v>20</v>
      </c>
      <c r="G153" s="76"/>
      <c r="H153" s="14">
        <f>F153*AE153</f>
        <v>0</v>
      </c>
      <c r="I153" s="14">
        <f>J153-H153</f>
        <v>0</v>
      </c>
      <c r="J153" s="14">
        <f>F153*G153</f>
        <v>0</v>
      </c>
      <c r="K153" s="14">
        <v>0.11025</v>
      </c>
      <c r="L153" s="14">
        <f>F153*K153</f>
        <v>2.205</v>
      </c>
      <c r="M153" s="22" t="s">
        <v>353</v>
      </c>
      <c r="P153" s="26">
        <f>IF(AG153="5",J153,0)</f>
        <v>0</v>
      </c>
      <c r="R153" s="26">
        <f>IF(AG153="1",H153,0)</f>
        <v>0</v>
      </c>
      <c r="S153" s="26">
        <f>IF(AG153="1",I153,0)</f>
        <v>0</v>
      </c>
      <c r="T153" s="26">
        <f>IF(AG153="7",H153,0)</f>
        <v>0</v>
      </c>
      <c r="U153" s="26">
        <f>IF(AG153="7",I153,0)</f>
        <v>0</v>
      </c>
      <c r="V153" s="26">
        <f>IF(AG153="2",H153,0)</f>
        <v>0</v>
      </c>
      <c r="W153" s="26">
        <f>IF(AG153="2",I153,0)</f>
        <v>0</v>
      </c>
      <c r="X153" s="26">
        <f>IF(AG153="0",J153,0)</f>
        <v>0</v>
      </c>
      <c r="Y153" s="19" t="s">
        <v>90</v>
      </c>
      <c r="Z153" s="14">
        <f>IF(AD153=0,J153,0)</f>
        <v>0</v>
      </c>
      <c r="AA153" s="14">
        <f>IF(AD153=15,J153,0)</f>
        <v>0</v>
      </c>
      <c r="AB153" s="14">
        <f>IF(AD153=21,J153,0)</f>
        <v>0</v>
      </c>
      <c r="AD153" s="26">
        <v>21</v>
      </c>
      <c r="AE153" s="26">
        <f>G153*0.670610687022901</f>
        <v>0</v>
      </c>
      <c r="AF153" s="26">
        <f>G153*(1-0.670610687022901)</f>
        <v>0</v>
      </c>
      <c r="AG153" s="22" t="s">
        <v>8</v>
      </c>
      <c r="AM153" s="26">
        <f>F153*AE153</f>
        <v>0</v>
      </c>
      <c r="AN153" s="26">
        <f>F153*AF153</f>
        <v>0</v>
      </c>
      <c r="AO153" s="27" t="s">
        <v>384</v>
      </c>
      <c r="AP153" s="27" t="s">
        <v>393</v>
      </c>
      <c r="AQ153" s="19" t="s">
        <v>395</v>
      </c>
      <c r="AS153" s="26">
        <f>AM153+AN153</f>
        <v>0</v>
      </c>
      <c r="AT153" s="26">
        <f>G153/(100-AU153)*100</f>
        <v>0</v>
      </c>
      <c r="AU153" s="26">
        <v>0</v>
      </c>
      <c r="AV153" s="26">
        <f>L153</f>
        <v>2.205</v>
      </c>
    </row>
    <row r="154" spans="1:52" s="83" customFormat="1" ht="12.75">
      <c r="A154" s="85" t="s">
        <v>466</v>
      </c>
      <c r="B154" s="85"/>
      <c r="C154" s="85" t="s">
        <v>461</v>
      </c>
      <c r="D154" s="85" t="s">
        <v>462</v>
      </c>
      <c r="E154" s="85" t="s">
        <v>328</v>
      </c>
      <c r="F154" s="86">
        <v>71.4</v>
      </c>
      <c r="G154" s="87"/>
      <c r="H154" s="86">
        <f>F154*AE154</f>
        <v>0</v>
      </c>
      <c r="I154" s="86">
        <f>F154*AF154</f>
        <v>0</v>
      </c>
      <c r="J154" s="86">
        <f>F154*G154</f>
        <v>0</v>
      </c>
      <c r="K154" s="86">
        <v>0</v>
      </c>
      <c r="L154" s="86">
        <f>F154*K154</f>
        <v>0</v>
      </c>
      <c r="M154" s="88" t="s">
        <v>463</v>
      </c>
      <c r="P154" s="80">
        <f>IF(AG154="5",AZ154,0)</f>
        <v>0</v>
      </c>
      <c r="R154" s="80">
        <f>IF(AG154="1",AX154,0)</f>
        <v>0</v>
      </c>
      <c r="S154" s="80">
        <f>IF(AG154="1",AY154,0)</f>
        <v>0</v>
      </c>
      <c r="T154" s="80">
        <f>IF(AG154="7",AX154,0)</f>
        <v>0</v>
      </c>
      <c r="U154" s="80">
        <f>IF(AG154="7",AY154,0)</f>
        <v>0</v>
      </c>
      <c r="V154" s="80">
        <f>IF(AG154="2",AX154,0)</f>
        <v>0</v>
      </c>
      <c r="W154" s="80">
        <f>IF(AG154="2",AY154,0)</f>
        <v>0</v>
      </c>
      <c r="X154" s="80">
        <f>IF(AG154="0",AZ154,0)</f>
        <v>0</v>
      </c>
      <c r="Y154" s="84"/>
      <c r="Z154" s="80">
        <f>IF(AD154=0,J154,0)</f>
        <v>0</v>
      </c>
      <c r="AA154" s="80">
        <f>IF(AD154=15,J154,0)</f>
        <v>0</v>
      </c>
      <c r="AB154" s="80">
        <f>IF(AD154=21,J154,0)</f>
        <v>0</v>
      </c>
      <c r="AD154" s="80">
        <v>21</v>
      </c>
      <c r="AE154" s="80">
        <f>G154*0.329912280701754</f>
        <v>0</v>
      </c>
      <c r="AF154" s="80">
        <f>G154*(1-0.329912280701754)</f>
        <v>0</v>
      </c>
      <c r="AG154" s="82" t="s">
        <v>8</v>
      </c>
      <c r="AL154" s="80">
        <f>AM154+AN154</f>
        <v>0</v>
      </c>
      <c r="AM154" s="80">
        <f>F154*AE154</f>
        <v>0</v>
      </c>
      <c r="AN154" s="80">
        <f>F154*AF154</f>
        <v>0</v>
      </c>
      <c r="AO154" s="82" t="s">
        <v>384</v>
      </c>
      <c r="AP154" s="82" t="s">
        <v>464</v>
      </c>
      <c r="AQ154" s="84" t="s">
        <v>465</v>
      </c>
      <c r="AS154" s="80">
        <f>AM154+AN154</f>
        <v>0</v>
      </c>
      <c r="AT154" s="80">
        <f>G154/(100-AU154)*100</f>
        <v>0</v>
      </c>
      <c r="AU154" s="80">
        <v>0</v>
      </c>
      <c r="AV154" s="80">
        <f>L154</f>
        <v>0</v>
      </c>
      <c r="AX154" s="80">
        <f>F154*AE154</f>
        <v>0</v>
      </c>
      <c r="AY154" s="80">
        <f>F154*AF154</f>
        <v>0</v>
      </c>
      <c r="AZ154" s="80">
        <f>F154*G154</f>
        <v>0</v>
      </c>
    </row>
    <row r="155" spans="1:37" ht="12.75">
      <c r="A155" s="67"/>
      <c r="B155" s="68" t="s">
        <v>90</v>
      </c>
      <c r="C155" s="68" t="s">
        <v>168</v>
      </c>
      <c r="D155" s="68" t="s">
        <v>306</v>
      </c>
      <c r="E155" s="67" t="s">
        <v>6</v>
      </c>
      <c r="F155" s="67" t="s">
        <v>6</v>
      </c>
      <c r="G155" s="67" t="s">
        <v>6</v>
      </c>
      <c r="H155" s="69">
        <f>SUM(H156:H162)</f>
        <v>0</v>
      </c>
      <c r="I155" s="69">
        <f>SUM(I156:I162)</f>
        <v>0</v>
      </c>
      <c r="J155" s="69">
        <f>H155+I155</f>
        <v>0</v>
      </c>
      <c r="K155" s="70"/>
      <c r="L155" s="69">
        <f>SUM(L156:L162)</f>
        <v>0</v>
      </c>
      <c r="M155" s="70"/>
      <c r="Y155" s="19" t="s">
        <v>90</v>
      </c>
      <c r="AI155" s="28">
        <f>SUM(Z156:Z162)</f>
        <v>0</v>
      </c>
      <c r="AJ155" s="28">
        <f>SUM(AA156:AA162)</f>
        <v>0</v>
      </c>
      <c r="AK155" s="28">
        <f>SUM(AB156:AB162)</f>
        <v>0</v>
      </c>
    </row>
    <row r="156" spans="1:48" ht="12.75">
      <c r="A156" s="12" t="s">
        <v>80</v>
      </c>
      <c r="B156" s="12" t="s">
        <v>90</v>
      </c>
      <c r="C156" s="12" t="s">
        <v>169</v>
      </c>
      <c r="D156" s="12" t="s">
        <v>307</v>
      </c>
      <c r="E156" s="12" t="s">
        <v>330</v>
      </c>
      <c r="F156" s="26">
        <v>138.51</v>
      </c>
      <c r="G156" s="75"/>
      <c r="H156" s="26">
        <f>F156*AE156</f>
        <v>0</v>
      </c>
      <c r="I156" s="26">
        <f>J156-H156</f>
        <v>0</v>
      </c>
      <c r="J156" s="26">
        <f>F156*G156</f>
        <v>0</v>
      </c>
      <c r="K156" s="26">
        <v>0</v>
      </c>
      <c r="L156" s="26">
        <f>F156*K156</f>
        <v>0</v>
      </c>
      <c r="M156" s="27" t="s">
        <v>353</v>
      </c>
      <c r="P156" s="26">
        <f>IF(AG156="5",J156,0)</f>
        <v>0</v>
      </c>
      <c r="R156" s="26">
        <f>IF(AG156="1",H156,0)</f>
        <v>0</v>
      </c>
      <c r="S156" s="26">
        <f>IF(AG156="1",I156,0)</f>
        <v>0</v>
      </c>
      <c r="T156" s="26">
        <f>IF(AG156="7",H156,0)</f>
        <v>0</v>
      </c>
      <c r="U156" s="26">
        <f>IF(AG156="7",I156,0)</f>
        <v>0</v>
      </c>
      <c r="V156" s="26">
        <f>IF(AG156="2",H156,0)</f>
        <v>0</v>
      </c>
      <c r="W156" s="26">
        <f>IF(AG156="2",I156,0)</f>
        <v>0</v>
      </c>
      <c r="X156" s="26">
        <f>IF(AG156="0",J156,0)</f>
        <v>0</v>
      </c>
      <c r="Y156" s="19" t="s">
        <v>90</v>
      </c>
      <c r="Z156" s="14">
        <f>IF(AD156=0,J156,0)</f>
        <v>0</v>
      </c>
      <c r="AA156" s="14">
        <f>IF(AD156=15,J156,0)</f>
        <v>0</v>
      </c>
      <c r="AB156" s="14">
        <f>IF(AD156=21,J156,0)</f>
        <v>0</v>
      </c>
      <c r="AD156" s="26">
        <v>21</v>
      </c>
      <c r="AE156" s="26">
        <f>G156*0</f>
        <v>0</v>
      </c>
      <c r="AF156" s="26">
        <f>G156*(1-0)</f>
        <v>0</v>
      </c>
      <c r="AG156" s="22" t="s">
        <v>11</v>
      </c>
      <c r="AM156" s="26">
        <f>F156*AE156</f>
        <v>0</v>
      </c>
      <c r="AN156" s="26">
        <f>F156*AF156</f>
        <v>0</v>
      </c>
      <c r="AO156" s="27" t="s">
        <v>385</v>
      </c>
      <c r="AP156" s="27" t="s">
        <v>393</v>
      </c>
      <c r="AQ156" s="19" t="s">
        <v>395</v>
      </c>
      <c r="AS156" s="26">
        <f>AM156+AN156</f>
        <v>0</v>
      </c>
      <c r="AT156" s="26">
        <f>G156/(100-AU156)*100</f>
        <v>0</v>
      </c>
      <c r="AU156" s="26">
        <v>0</v>
      </c>
      <c r="AV156" s="26">
        <f>L156</f>
        <v>0</v>
      </c>
    </row>
    <row r="157" spans="1:48" ht="12.75">
      <c r="A157" s="12" t="s">
        <v>81</v>
      </c>
      <c r="B157" s="12" t="s">
        <v>90</v>
      </c>
      <c r="C157" s="12" t="s">
        <v>170</v>
      </c>
      <c r="D157" s="12" t="s">
        <v>308</v>
      </c>
      <c r="E157" s="12" t="s">
        <v>330</v>
      </c>
      <c r="F157" s="26">
        <v>138.51</v>
      </c>
      <c r="G157" s="75"/>
      <c r="H157" s="26">
        <f>F157*AE157</f>
        <v>0</v>
      </c>
      <c r="I157" s="26">
        <f>J157-H157</f>
        <v>0</v>
      </c>
      <c r="J157" s="26">
        <f>F157*G157</f>
        <v>0</v>
      </c>
      <c r="K157" s="26">
        <v>0</v>
      </c>
      <c r="L157" s="26">
        <f>F157*K157</f>
        <v>0</v>
      </c>
      <c r="M157" s="27" t="s">
        <v>353</v>
      </c>
      <c r="P157" s="26">
        <f>IF(AG157="5",J157,0)</f>
        <v>0</v>
      </c>
      <c r="R157" s="26">
        <f>IF(AG157="1",H157,0)</f>
        <v>0</v>
      </c>
      <c r="S157" s="26">
        <f>IF(AG157="1",I157,0)</f>
        <v>0</v>
      </c>
      <c r="T157" s="26">
        <f>IF(AG157="7",H157,0)</f>
        <v>0</v>
      </c>
      <c r="U157" s="26">
        <f>IF(AG157="7",I157,0)</f>
        <v>0</v>
      </c>
      <c r="V157" s="26">
        <f>IF(AG157="2",H157,0)</f>
        <v>0</v>
      </c>
      <c r="W157" s="26">
        <f>IF(AG157="2",I157,0)</f>
        <v>0</v>
      </c>
      <c r="X157" s="26">
        <f>IF(AG157="0",J157,0)</f>
        <v>0</v>
      </c>
      <c r="Y157" s="19" t="s">
        <v>90</v>
      </c>
      <c r="Z157" s="14">
        <f>IF(AD157=0,J157,0)</f>
        <v>0</v>
      </c>
      <c r="AA157" s="14">
        <f>IF(AD157=15,J157,0)</f>
        <v>0</v>
      </c>
      <c r="AB157" s="14">
        <f>IF(AD157=21,J157,0)</f>
        <v>0</v>
      </c>
      <c r="AD157" s="26">
        <v>21</v>
      </c>
      <c r="AE157" s="26">
        <f>G157*0.00934993924665856</f>
        <v>0</v>
      </c>
      <c r="AF157" s="26">
        <f>G157*(1-0.00934993924665856)</f>
        <v>0</v>
      </c>
      <c r="AG157" s="22" t="s">
        <v>11</v>
      </c>
      <c r="AM157" s="26">
        <f>F157*AE157</f>
        <v>0</v>
      </c>
      <c r="AN157" s="26">
        <f>F157*AF157</f>
        <v>0</v>
      </c>
      <c r="AO157" s="27" t="s">
        <v>385</v>
      </c>
      <c r="AP157" s="27" t="s">
        <v>393</v>
      </c>
      <c r="AQ157" s="19" t="s">
        <v>395</v>
      </c>
      <c r="AS157" s="26">
        <f>AM157+AN157</f>
        <v>0</v>
      </c>
      <c r="AT157" s="26">
        <f>G157/(100-AU157)*100</f>
        <v>0</v>
      </c>
      <c r="AU157" s="26">
        <v>0</v>
      </c>
      <c r="AV157" s="26">
        <f>L157</f>
        <v>0</v>
      </c>
    </row>
    <row r="158" spans="1:48" ht="12.75">
      <c r="A158" s="12" t="s">
        <v>82</v>
      </c>
      <c r="B158" s="12" t="s">
        <v>90</v>
      </c>
      <c r="C158" s="12" t="s">
        <v>171</v>
      </c>
      <c r="D158" s="12" t="s">
        <v>309</v>
      </c>
      <c r="E158" s="12" t="s">
        <v>330</v>
      </c>
      <c r="F158" s="26">
        <v>692.55</v>
      </c>
      <c r="G158" s="75"/>
      <c r="H158" s="26">
        <f>F158*AE158</f>
        <v>0</v>
      </c>
      <c r="I158" s="26">
        <f>J158-H158</f>
        <v>0</v>
      </c>
      <c r="J158" s="26">
        <f>F158*G158</f>
        <v>0</v>
      </c>
      <c r="K158" s="26">
        <v>0</v>
      </c>
      <c r="L158" s="26">
        <f>F158*K158</f>
        <v>0</v>
      </c>
      <c r="M158" s="27" t="s">
        <v>353</v>
      </c>
      <c r="P158" s="26">
        <f>IF(AG158="5",J158,0)</f>
        <v>0</v>
      </c>
      <c r="R158" s="26">
        <f>IF(AG158="1",H158,0)</f>
        <v>0</v>
      </c>
      <c r="S158" s="26">
        <f>IF(AG158="1",I158,0)</f>
        <v>0</v>
      </c>
      <c r="T158" s="26">
        <f>IF(AG158="7",H158,0)</f>
        <v>0</v>
      </c>
      <c r="U158" s="26">
        <f>IF(AG158="7",I158,0)</f>
        <v>0</v>
      </c>
      <c r="V158" s="26">
        <f>IF(AG158="2",H158,0)</f>
        <v>0</v>
      </c>
      <c r="W158" s="26">
        <f>IF(AG158="2",I158,0)</f>
        <v>0</v>
      </c>
      <c r="X158" s="26">
        <f>IF(AG158="0",J158,0)</f>
        <v>0</v>
      </c>
      <c r="Y158" s="19" t="s">
        <v>90</v>
      </c>
      <c r="Z158" s="14">
        <f>IF(AD158=0,J158,0)</f>
        <v>0</v>
      </c>
      <c r="AA158" s="14">
        <f>IF(AD158=15,J158,0)</f>
        <v>0</v>
      </c>
      <c r="AB158" s="14">
        <f>IF(AD158=21,J158,0)</f>
        <v>0</v>
      </c>
      <c r="AD158" s="26">
        <v>21</v>
      </c>
      <c r="AE158" s="26">
        <f>G158*0</f>
        <v>0</v>
      </c>
      <c r="AF158" s="26">
        <f>G158*(1-0)</f>
        <v>0</v>
      </c>
      <c r="AG158" s="22" t="s">
        <v>11</v>
      </c>
      <c r="AM158" s="26">
        <f>F158*AE158</f>
        <v>0</v>
      </c>
      <c r="AN158" s="26">
        <f>F158*AF158</f>
        <v>0</v>
      </c>
      <c r="AO158" s="27" t="s">
        <v>385</v>
      </c>
      <c r="AP158" s="27" t="s">
        <v>393</v>
      </c>
      <c r="AQ158" s="19" t="s">
        <v>395</v>
      </c>
      <c r="AS158" s="26">
        <f>AM158+AN158</f>
        <v>0</v>
      </c>
      <c r="AT158" s="26">
        <f>G158/(100-AU158)*100</f>
        <v>0</v>
      </c>
      <c r="AU158" s="26">
        <v>0</v>
      </c>
      <c r="AV158" s="26">
        <f>L158</f>
        <v>0</v>
      </c>
    </row>
    <row r="159" spans="1:13" ht="12.75">
      <c r="A159" s="71"/>
      <c r="B159" s="71"/>
      <c r="C159" s="71"/>
      <c r="D159" s="72" t="s">
        <v>310</v>
      </c>
      <c r="E159" s="71"/>
      <c r="F159" s="73">
        <v>692.55</v>
      </c>
      <c r="G159" s="71"/>
      <c r="H159" s="71"/>
      <c r="I159" s="71"/>
      <c r="J159" s="71"/>
      <c r="K159" s="71"/>
      <c r="L159" s="71"/>
      <c r="M159" s="71"/>
    </row>
    <row r="160" spans="1:48" ht="12.75">
      <c r="A160" s="12" t="s">
        <v>83</v>
      </c>
      <c r="B160" s="12" t="s">
        <v>90</v>
      </c>
      <c r="C160" s="12" t="s">
        <v>172</v>
      </c>
      <c r="D160" s="12" t="s">
        <v>311</v>
      </c>
      <c r="E160" s="12" t="s">
        <v>330</v>
      </c>
      <c r="F160" s="26">
        <v>138.51</v>
      </c>
      <c r="G160" s="75"/>
      <c r="H160" s="26">
        <f>F160*AE160</f>
        <v>0</v>
      </c>
      <c r="I160" s="26">
        <f>J160-H160</f>
        <v>0</v>
      </c>
      <c r="J160" s="26">
        <f>F160*G160</f>
        <v>0</v>
      </c>
      <c r="K160" s="26">
        <v>0</v>
      </c>
      <c r="L160" s="26">
        <f>F160*K160</f>
        <v>0</v>
      </c>
      <c r="M160" s="27" t="s">
        <v>353</v>
      </c>
      <c r="P160" s="26">
        <f>IF(AG160="5",J160,0)</f>
        <v>0</v>
      </c>
      <c r="R160" s="26">
        <f>IF(AG160="1",H160,0)</f>
        <v>0</v>
      </c>
      <c r="S160" s="26">
        <f>IF(AG160="1",I160,0)</f>
        <v>0</v>
      </c>
      <c r="T160" s="26">
        <f>IF(AG160="7",H160,0)</f>
        <v>0</v>
      </c>
      <c r="U160" s="26">
        <f>IF(AG160="7",I160,0)</f>
        <v>0</v>
      </c>
      <c r="V160" s="26">
        <f>IF(AG160="2",H160,0)</f>
        <v>0</v>
      </c>
      <c r="W160" s="26">
        <f>IF(AG160="2",I160,0)</f>
        <v>0</v>
      </c>
      <c r="X160" s="26">
        <f>IF(AG160="0",J160,0)</f>
        <v>0</v>
      </c>
      <c r="Y160" s="19" t="s">
        <v>90</v>
      </c>
      <c r="Z160" s="14">
        <f>IF(AD160=0,J160,0)</f>
        <v>0</v>
      </c>
      <c r="AA160" s="14">
        <f>IF(AD160=15,J160,0)</f>
        <v>0</v>
      </c>
      <c r="AB160" s="14">
        <f>IF(AD160=21,J160,0)</f>
        <v>0</v>
      </c>
      <c r="AD160" s="26">
        <v>21</v>
      </c>
      <c r="AE160" s="26">
        <f>G160*0</f>
        <v>0</v>
      </c>
      <c r="AF160" s="26">
        <f>G160*(1-0)</f>
        <v>0</v>
      </c>
      <c r="AG160" s="22" t="s">
        <v>11</v>
      </c>
      <c r="AM160" s="26">
        <f>F160*AE160</f>
        <v>0</v>
      </c>
      <c r="AN160" s="26">
        <f>F160*AF160</f>
        <v>0</v>
      </c>
      <c r="AO160" s="27" t="s">
        <v>385</v>
      </c>
      <c r="AP160" s="27" t="s">
        <v>393</v>
      </c>
      <c r="AQ160" s="19" t="s">
        <v>395</v>
      </c>
      <c r="AS160" s="26">
        <f>AM160+AN160</f>
        <v>0</v>
      </c>
      <c r="AT160" s="26">
        <f>G160/(100-AU160)*100</f>
        <v>0</v>
      </c>
      <c r="AU160" s="26">
        <v>0</v>
      </c>
      <c r="AV160" s="26">
        <f>L160</f>
        <v>0</v>
      </c>
    </row>
    <row r="161" spans="1:48" ht="12.75">
      <c r="A161" s="12" t="s">
        <v>84</v>
      </c>
      <c r="B161" s="12" t="s">
        <v>90</v>
      </c>
      <c r="C161" s="12" t="s">
        <v>173</v>
      </c>
      <c r="D161" s="12" t="s">
        <v>312</v>
      </c>
      <c r="E161" s="12" t="s">
        <v>330</v>
      </c>
      <c r="F161" s="26">
        <v>121.68</v>
      </c>
      <c r="G161" s="75"/>
      <c r="H161" s="26">
        <f>F161*AE161</f>
        <v>0</v>
      </c>
      <c r="I161" s="26">
        <f>J161-H161</f>
        <v>0</v>
      </c>
      <c r="J161" s="26">
        <f>F161*G161</f>
        <v>0</v>
      </c>
      <c r="K161" s="26">
        <v>0</v>
      </c>
      <c r="L161" s="26">
        <f>F161*K161</f>
        <v>0</v>
      </c>
      <c r="M161" s="27" t="s">
        <v>353</v>
      </c>
      <c r="P161" s="26">
        <f>IF(AG161="5",J161,0)</f>
        <v>0</v>
      </c>
      <c r="R161" s="26">
        <f>IF(AG161="1",H161,0)</f>
        <v>0</v>
      </c>
      <c r="S161" s="26">
        <f>IF(AG161="1",I161,0)</f>
        <v>0</v>
      </c>
      <c r="T161" s="26">
        <f>IF(AG161="7",H161,0)</f>
        <v>0</v>
      </c>
      <c r="U161" s="26">
        <f>IF(AG161="7",I161,0)</f>
        <v>0</v>
      </c>
      <c r="V161" s="26">
        <f>IF(AG161="2",H161,0)</f>
        <v>0</v>
      </c>
      <c r="W161" s="26">
        <f>IF(AG161="2",I161,0)</f>
        <v>0</v>
      </c>
      <c r="X161" s="26">
        <f>IF(AG161="0",J161,0)</f>
        <v>0</v>
      </c>
      <c r="Y161" s="19" t="s">
        <v>90</v>
      </c>
      <c r="Z161" s="14">
        <f>IF(AD161=0,J161,0)</f>
        <v>0</v>
      </c>
      <c r="AA161" s="14">
        <f>IF(AD161=15,J161,0)</f>
        <v>0</v>
      </c>
      <c r="AB161" s="14">
        <f>IF(AD161=21,J161,0)</f>
        <v>0</v>
      </c>
      <c r="AD161" s="26">
        <v>21</v>
      </c>
      <c r="AE161" s="26">
        <f>G161*0</f>
        <v>0</v>
      </c>
      <c r="AF161" s="26">
        <f>G161*(1-0)</f>
        <v>0</v>
      </c>
      <c r="AG161" s="22" t="s">
        <v>11</v>
      </c>
      <c r="AM161" s="26">
        <f>F161*AE161</f>
        <v>0</v>
      </c>
      <c r="AN161" s="26">
        <f>F161*AF161</f>
        <v>0</v>
      </c>
      <c r="AO161" s="27" t="s">
        <v>385</v>
      </c>
      <c r="AP161" s="27" t="s">
        <v>393</v>
      </c>
      <c r="AQ161" s="19" t="s">
        <v>395</v>
      </c>
      <c r="AS161" s="26">
        <f>AM161+AN161</f>
        <v>0</v>
      </c>
      <c r="AT161" s="26">
        <f>G161/(100-AU161)*100</f>
        <v>0</v>
      </c>
      <c r="AU161" s="26">
        <v>0</v>
      </c>
      <c r="AV161" s="26">
        <f>L161</f>
        <v>0</v>
      </c>
    </row>
    <row r="162" spans="1:48" ht="12.75">
      <c r="A162" s="12" t="s">
        <v>85</v>
      </c>
      <c r="B162" s="12" t="s">
        <v>90</v>
      </c>
      <c r="C162" s="12" t="s">
        <v>174</v>
      </c>
      <c r="D162" s="12" t="s">
        <v>313</v>
      </c>
      <c r="E162" s="12" t="s">
        <v>330</v>
      </c>
      <c r="F162" s="26">
        <v>16.82</v>
      </c>
      <c r="G162" s="75"/>
      <c r="H162" s="26">
        <f>F162*AE162</f>
        <v>0</v>
      </c>
      <c r="I162" s="26">
        <f>J162-H162</f>
        <v>0</v>
      </c>
      <c r="J162" s="26">
        <f>F162*G162</f>
        <v>0</v>
      </c>
      <c r="K162" s="26">
        <v>0</v>
      </c>
      <c r="L162" s="26">
        <f>F162*K162</f>
        <v>0</v>
      </c>
      <c r="M162" s="27" t="s">
        <v>353</v>
      </c>
      <c r="P162" s="26">
        <f>IF(AG162="5",J162,0)</f>
        <v>0</v>
      </c>
      <c r="R162" s="26">
        <f>IF(AG162="1",H162,0)</f>
        <v>0</v>
      </c>
      <c r="S162" s="26">
        <f>IF(AG162="1",I162,0)</f>
        <v>0</v>
      </c>
      <c r="T162" s="26">
        <f>IF(AG162="7",H162,0)</f>
        <v>0</v>
      </c>
      <c r="U162" s="26">
        <f>IF(AG162="7",I162,0)</f>
        <v>0</v>
      </c>
      <c r="V162" s="26">
        <f>IF(AG162="2",H162,0)</f>
        <v>0</v>
      </c>
      <c r="W162" s="26">
        <f>IF(AG162="2",I162,0)</f>
        <v>0</v>
      </c>
      <c r="X162" s="26">
        <f>IF(AG162="0",J162,0)</f>
        <v>0</v>
      </c>
      <c r="Y162" s="19" t="s">
        <v>90</v>
      </c>
      <c r="Z162" s="14">
        <f>IF(AD162=0,J162,0)</f>
        <v>0</v>
      </c>
      <c r="AA162" s="14">
        <f>IF(AD162=15,J162,0)</f>
        <v>0</v>
      </c>
      <c r="AB162" s="14">
        <f>IF(AD162=21,J162,0)</f>
        <v>0</v>
      </c>
      <c r="AD162" s="26">
        <v>21</v>
      </c>
      <c r="AE162" s="26">
        <f>G162*0</f>
        <v>0</v>
      </c>
      <c r="AF162" s="26">
        <f>G162*(1-0)</f>
        <v>0</v>
      </c>
      <c r="AG162" s="22" t="s">
        <v>11</v>
      </c>
      <c r="AM162" s="26">
        <f>F162*AE162</f>
        <v>0</v>
      </c>
      <c r="AN162" s="26">
        <f>F162*AF162</f>
        <v>0</v>
      </c>
      <c r="AO162" s="27" t="s">
        <v>385</v>
      </c>
      <c r="AP162" s="27" t="s">
        <v>393</v>
      </c>
      <c r="AQ162" s="19" t="s">
        <v>395</v>
      </c>
      <c r="AS162" s="26">
        <f>AM162+AN162</f>
        <v>0</v>
      </c>
      <c r="AT162" s="26">
        <f>G162/(100-AU162)*100</f>
        <v>0</v>
      </c>
      <c r="AU162" s="26">
        <v>0</v>
      </c>
      <c r="AV162" s="26">
        <f>L162</f>
        <v>0</v>
      </c>
    </row>
    <row r="163" spans="1:37" ht="12.75">
      <c r="A163" s="3"/>
      <c r="B163" s="10" t="s">
        <v>90</v>
      </c>
      <c r="C163" s="10"/>
      <c r="D163" s="10" t="s">
        <v>314</v>
      </c>
      <c r="E163" s="3" t="s">
        <v>6</v>
      </c>
      <c r="F163" s="3" t="s">
        <v>6</v>
      </c>
      <c r="G163" s="3" t="s">
        <v>6</v>
      </c>
      <c r="H163" s="28">
        <f>SUM(H164:H169)</f>
        <v>0</v>
      </c>
      <c r="I163" s="28">
        <f>SUM(I164:I169)</f>
        <v>0</v>
      </c>
      <c r="J163" s="28">
        <f>H163+I163</f>
        <v>0</v>
      </c>
      <c r="K163" s="19"/>
      <c r="L163" s="28">
        <f>SUM(L164:L169)</f>
        <v>0.7075</v>
      </c>
      <c r="M163" s="19"/>
      <c r="Y163" s="19" t="s">
        <v>90</v>
      </c>
      <c r="AI163" s="28">
        <f>SUM(Z164:Z169)</f>
        <v>0</v>
      </c>
      <c r="AJ163" s="28">
        <f>SUM(AA164:AA169)</f>
        <v>0</v>
      </c>
      <c r="AK163" s="28">
        <f>SUM(AB164:AB169)</f>
        <v>0</v>
      </c>
    </row>
    <row r="164" spans="1:48" ht="12.75">
      <c r="A164" s="5" t="s">
        <v>86</v>
      </c>
      <c r="B164" s="5" t="s">
        <v>90</v>
      </c>
      <c r="C164" s="5" t="s">
        <v>175</v>
      </c>
      <c r="D164" s="5" t="s">
        <v>315</v>
      </c>
      <c r="E164" s="5" t="s">
        <v>331</v>
      </c>
      <c r="F164" s="16">
        <v>72</v>
      </c>
      <c r="G164" s="77"/>
      <c r="H164" s="16">
        <f aca="true" t="shared" si="20" ref="H164:H169">F164*AE164</f>
        <v>0</v>
      </c>
      <c r="I164" s="16">
        <f aca="true" t="shared" si="21" ref="I164:I169">J164-H164</f>
        <v>0</v>
      </c>
      <c r="J164" s="16">
        <f aca="true" t="shared" si="22" ref="J164:J169">F164*G164</f>
        <v>0</v>
      </c>
      <c r="K164" s="16">
        <v>0.0093</v>
      </c>
      <c r="L164" s="16">
        <f aca="true" t="shared" si="23" ref="L164:L169">F164*K164</f>
        <v>0.6696</v>
      </c>
      <c r="M164" s="23" t="s">
        <v>353</v>
      </c>
      <c r="P164" s="26">
        <f aca="true" t="shared" si="24" ref="P164:P169">IF(AG164="5",J164,0)</f>
        <v>0</v>
      </c>
      <c r="R164" s="26">
        <f aca="true" t="shared" si="25" ref="R164:R169">IF(AG164="1",H164,0)</f>
        <v>0</v>
      </c>
      <c r="S164" s="26">
        <f aca="true" t="shared" si="26" ref="S164:S169">IF(AG164="1",I164,0)</f>
        <v>0</v>
      </c>
      <c r="T164" s="26">
        <f aca="true" t="shared" si="27" ref="T164:T169">IF(AG164="7",H164,0)</f>
        <v>0</v>
      </c>
      <c r="U164" s="26">
        <f aca="true" t="shared" si="28" ref="U164:U169">IF(AG164="7",I164,0)</f>
        <v>0</v>
      </c>
      <c r="V164" s="26">
        <f aca="true" t="shared" si="29" ref="V164:V169">IF(AG164="2",H164,0)</f>
        <v>0</v>
      </c>
      <c r="W164" s="26">
        <f aca="true" t="shared" si="30" ref="W164:W169">IF(AG164="2",I164,0)</f>
        <v>0</v>
      </c>
      <c r="X164" s="26">
        <f aca="true" t="shared" si="31" ref="X164:X169">IF(AG164="0",J164,0)</f>
        <v>0</v>
      </c>
      <c r="Y164" s="19" t="s">
        <v>90</v>
      </c>
      <c r="Z164" s="16">
        <f aca="true" t="shared" si="32" ref="Z164:Z169">IF(AD164=0,J164,0)</f>
        <v>0</v>
      </c>
      <c r="AA164" s="16">
        <f aca="true" t="shared" si="33" ref="AA164:AA169">IF(AD164=15,J164,0)</f>
        <v>0</v>
      </c>
      <c r="AB164" s="16">
        <f aca="true" t="shared" si="34" ref="AB164:AB169">IF(AD164=21,J164,0)</f>
        <v>0</v>
      </c>
      <c r="AD164" s="26">
        <v>21</v>
      </c>
      <c r="AE164" s="26">
        <f aca="true" t="shared" si="35" ref="AE164:AE169">G164*1</f>
        <v>0</v>
      </c>
      <c r="AF164" s="26">
        <f aca="true" t="shared" si="36" ref="AF164:AF169">G164*(1-1)</f>
        <v>0</v>
      </c>
      <c r="AG164" s="23" t="s">
        <v>92</v>
      </c>
      <c r="AM164" s="26">
        <f aca="true" t="shared" si="37" ref="AM164:AM169">F164*AE164</f>
        <v>0</v>
      </c>
      <c r="AN164" s="26">
        <f aca="true" t="shared" si="38" ref="AN164:AN169">F164*AF164</f>
        <v>0</v>
      </c>
      <c r="AO164" s="27" t="s">
        <v>386</v>
      </c>
      <c r="AP164" s="27" t="s">
        <v>394</v>
      </c>
      <c r="AQ164" s="19" t="s">
        <v>395</v>
      </c>
      <c r="AS164" s="26">
        <f aca="true" t="shared" si="39" ref="AS164:AS169">AM164+AN164</f>
        <v>0</v>
      </c>
      <c r="AT164" s="26">
        <f aca="true" t="shared" si="40" ref="AT164:AT169">G164/(100-AU164)*100</f>
        <v>0</v>
      </c>
      <c r="AU164" s="26">
        <v>0</v>
      </c>
      <c r="AV164" s="26">
        <f aca="true" t="shared" si="41" ref="AV164:AV169">L164</f>
        <v>0.6696</v>
      </c>
    </row>
    <row r="165" spans="1:48" ht="12.75">
      <c r="A165" s="5" t="s">
        <v>87</v>
      </c>
      <c r="B165" s="5" t="s">
        <v>90</v>
      </c>
      <c r="C165" s="5" t="s">
        <v>176</v>
      </c>
      <c r="D165" s="5" t="s">
        <v>316</v>
      </c>
      <c r="E165" s="5" t="s">
        <v>331</v>
      </c>
      <c r="F165" s="16">
        <v>1</v>
      </c>
      <c r="G165" s="77"/>
      <c r="H165" s="16">
        <f t="shared" si="20"/>
        <v>0</v>
      </c>
      <c r="I165" s="16">
        <f t="shared" si="21"/>
        <v>0</v>
      </c>
      <c r="J165" s="16">
        <f t="shared" si="22"/>
        <v>0</v>
      </c>
      <c r="K165" s="16">
        <v>0.0175</v>
      </c>
      <c r="L165" s="16">
        <f t="shared" si="23"/>
        <v>0.0175</v>
      </c>
      <c r="M165" s="23" t="s">
        <v>353</v>
      </c>
      <c r="P165" s="26">
        <f t="shared" si="24"/>
        <v>0</v>
      </c>
      <c r="R165" s="26">
        <f t="shared" si="25"/>
        <v>0</v>
      </c>
      <c r="S165" s="26">
        <f t="shared" si="26"/>
        <v>0</v>
      </c>
      <c r="T165" s="26">
        <f t="shared" si="27"/>
        <v>0</v>
      </c>
      <c r="U165" s="26">
        <f t="shared" si="28"/>
        <v>0</v>
      </c>
      <c r="V165" s="26">
        <f t="shared" si="29"/>
        <v>0</v>
      </c>
      <c r="W165" s="26">
        <f t="shared" si="30"/>
        <v>0</v>
      </c>
      <c r="X165" s="26">
        <f t="shared" si="31"/>
        <v>0</v>
      </c>
      <c r="Y165" s="19" t="s">
        <v>90</v>
      </c>
      <c r="Z165" s="16">
        <f t="shared" si="32"/>
        <v>0</v>
      </c>
      <c r="AA165" s="16">
        <f t="shared" si="33"/>
        <v>0</v>
      </c>
      <c r="AB165" s="16">
        <f t="shared" si="34"/>
        <v>0</v>
      </c>
      <c r="AD165" s="26">
        <v>21</v>
      </c>
      <c r="AE165" s="26">
        <f t="shared" si="35"/>
        <v>0</v>
      </c>
      <c r="AF165" s="26">
        <f t="shared" si="36"/>
        <v>0</v>
      </c>
      <c r="AG165" s="23" t="s">
        <v>92</v>
      </c>
      <c r="AM165" s="26">
        <f t="shared" si="37"/>
        <v>0</v>
      </c>
      <c r="AN165" s="26">
        <f t="shared" si="38"/>
        <v>0</v>
      </c>
      <c r="AO165" s="27" t="s">
        <v>386</v>
      </c>
      <c r="AP165" s="27" t="s">
        <v>394</v>
      </c>
      <c r="AQ165" s="19" t="s">
        <v>395</v>
      </c>
      <c r="AS165" s="26">
        <f t="shared" si="39"/>
        <v>0</v>
      </c>
      <c r="AT165" s="26">
        <f t="shared" si="40"/>
        <v>0</v>
      </c>
      <c r="AU165" s="26">
        <v>0</v>
      </c>
      <c r="AV165" s="26">
        <f t="shared" si="41"/>
        <v>0.0175</v>
      </c>
    </row>
    <row r="166" spans="1:48" ht="12.75">
      <c r="A166" s="5" t="s">
        <v>457</v>
      </c>
      <c r="B166" s="5" t="s">
        <v>90</v>
      </c>
      <c r="C166" s="5" t="s">
        <v>177</v>
      </c>
      <c r="D166" s="5" t="s">
        <v>317</v>
      </c>
      <c r="E166" s="5" t="s">
        <v>331</v>
      </c>
      <c r="F166" s="16">
        <v>1</v>
      </c>
      <c r="G166" s="77"/>
      <c r="H166" s="16">
        <f t="shared" si="20"/>
        <v>0</v>
      </c>
      <c r="I166" s="16">
        <f t="shared" si="21"/>
        <v>0</v>
      </c>
      <c r="J166" s="16">
        <f t="shared" si="22"/>
        <v>0</v>
      </c>
      <c r="K166" s="16">
        <v>0.00356</v>
      </c>
      <c r="L166" s="16">
        <f t="shared" si="23"/>
        <v>0.00356</v>
      </c>
      <c r="M166" s="23" t="s">
        <v>353</v>
      </c>
      <c r="P166" s="26">
        <f t="shared" si="24"/>
        <v>0</v>
      </c>
      <c r="R166" s="26">
        <f t="shared" si="25"/>
        <v>0</v>
      </c>
      <c r="S166" s="26">
        <f t="shared" si="26"/>
        <v>0</v>
      </c>
      <c r="T166" s="26">
        <f t="shared" si="27"/>
        <v>0</v>
      </c>
      <c r="U166" s="26">
        <f t="shared" si="28"/>
        <v>0</v>
      </c>
      <c r="V166" s="26">
        <f t="shared" si="29"/>
        <v>0</v>
      </c>
      <c r="W166" s="26">
        <f t="shared" si="30"/>
        <v>0</v>
      </c>
      <c r="X166" s="26">
        <f t="shared" si="31"/>
        <v>0</v>
      </c>
      <c r="Y166" s="19" t="s">
        <v>90</v>
      </c>
      <c r="Z166" s="16">
        <f t="shared" si="32"/>
        <v>0</v>
      </c>
      <c r="AA166" s="16">
        <f t="shared" si="33"/>
        <v>0</v>
      </c>
      <c r="AB166" s="16">
        <f t="shared" si="34"/>
        <v>0</v>
      </c>
      <c r="AD166" s="26">
        <v>21</v>
      </c>
      <c r="AE166" s="26">
        <f t="shared" si="35"/>
        <v>0</v>
      </c>
      <c r="AF166" s="26">
        <f t="shared" si="36"/>
        <v>0</v>
      </c>
      <c r="AG166" s="23" t="s">
        <v>92</v>
      </c>
      <c r="AM166" s="26">
        <f t="shared" si="37"/>
        <v>0</v>
      </c>
      <c r="AN166" s="26">
        <f t="shared" si="38"/>
        <v>0</v>
      </c>
      <c r="AO166" s="27" t="s">
        <v>386</v>
      </c>
      <c r="AP166" s="27" t="s">
        <v>394</v>
      </c>
      <c r="AQ166" s="19" t="s">
        <v>395</v>
      </c>
      <c r="AS166" s="26">
        <f t="shared" si="39"/>
        <v>0</v>
      </c>
      <c r="AT166" s="26">
        <f t="shared" si="40"/>
        <v>0</v>
      </c>
      <c r="AU166" s="26">
        <v>0</v>
      </c>
      <c r="AV166" s="26">
        <f t="shared" si="41"/>
        <v>0.00356</v>
      </c>
    </row>
    <row r="167" spans="1:48" ht="12.75">
      <c r="A167" s="5" t="s">
        <v>458</v>
      </c>
      <c r="B167" s="5" t="s">
        <v>90</v>
      </c>
      <c r="C167" s="5" t="s">
        <v>178</v>
      </c>
      <c r="D167" s="5" t="s">
        <v>318</v>
      </c>
      <c r="E167" s="5" t="s">
        <v>331</v>
      </c>
      <c r="F167" s="16">
        <v>1</v>
      </c>
      <c r="G167" s="77"/>
      <c r="H167" s="16">
        <f t="shared" si="20"/>
        <v>0</v>
      </c>
      <c r="I167" s="16">
        <f t="shared" si="21"/>
        <v>0</v>
      </c>
      <c r="J167" s="16">
        <f t="shared" si="22"/>
        <v>0</v>
      </c>
      <c r="K167" s="16">
        <v>0.0019</v>
      </c>
      <c r="L167" s="16">
        <f t="shared" si="23"/>
        <v>0.0019</v>
      </c>
      <c r="M167" s="23" t="s">
        <v>353</v>
      </c>
      <c r="P167" s="26">
        <f t="shared" si="24"/>
        <v>0</v>
      </c>
      <c r="R167" s="26">
        <f t="shared" si="25"/>
        <v>0</v>
      </c>
      <c r="S167" s="26">
        <f t="shared" si="26"/>
        <v>0</v>
      </c>
      <c r="T167" s="26">
        <f t="shared" si="27"/>
        <v>0</v>
      </c>
      <c r="U167" s="26">
        <f t="shared" si="28"/>
        <v>0</v>
      </c>
      <c r="V167" s="26">
        <f t="shared" si="29"/>
        <v>0</v>
      </c>
      <c r="W167" s="26">
        <f t="shared" si="30"/>
        <v>0</v>
      </c>
      <c r="X167" s="26">
        <f t="shared" si="31"/>
        <v>0</v>
      </c>
      <c r="Y167" s="19" t="s">
        <v>90</v>
      </c>
      <c r="Z167" s="16">
        <f t="shared" si="32"/>
        <v>0</v>
      </c>
      <c r="AA167" s="16">
        <f t="shared" si="33"/>
        <v>0</v>
      </c>
      <c r="AB167" s="16">
        <f t="shared" si="34"/>
        <v>0</v>
      </c>
      <c r="AD167" s="26">
        <v>21</v>
      </c>
      <c r="AE167" s="26">
        <f t="shared" si="35"/>
        <v>0</v>
      </c>
      <c r="AF167" s="26">
        <f t="shared" si="36"/>
        <v>0</v>
      </c>
      <c r="AG167" s="23" t="s">
        <v>92</v>
      </c>
      <c r="AM167" s="26">
        <f t="shared" si="37"/>
        <v>0</v>
      </c>
      <c r="AN167" s="26">
        <f t="shared" si="38"/>
        <v>0</v>
      </c>
      <c r="AO167" s="27" t="s">
        <v>386</v>
      </c>
      <c r="AP167" s="27" t="s">
        <v>394</v>
      </c>
      <c r="AQ167" s="19" t="s">
        <v>395</v>
      </c>
      <c r="AS167" s="26">
        <f t="shared" si="39"/>
        <v>0</v>
      </c>
      <c r="AT167" s="26">
        <f t="shared" si="40"/>
        <v>0</v>
      </c>
      <c r="AU167" s="26">
        <v>0</v>
      </c>
      <c r="AV167" s="26">
        <f t="shared" si="41"/>
        <v>0.0019</v>
      </c>
    </row>
    <row r="168" spans="1:48" ht="12.75">
      <c r="A168" s="5" t="s">
        <v>459</v>
      </c>
      <c r="B168" s="5" t="s">
        <v>90</v>
      </c>
      <c r="C168" s="5" t="s">
        <v>179</v>
      </c>
      <c r="D168" s="5" t="s">
        <v>319</v>
      </c>
      <c r="E168" s="5" t="s">
        <v>331</v>
      </c>
      <c r="F168" s="16">
        <v>4</v>
      </c>
      <c r="G168" s="77"/>
      <c r="H168" s="16">
        <f t="shared" si="20"/>
        <v>0</v>
      </c>
      <c r="I168" s="16">
        <f t="shared" si="21"/>
        <v>0</v>
      </c>
      <c r="J168" s="16">
        <f t="shared" si="22"/>
        <v>0</v>
      </c>
      <c r="K168" s="16">
        <v>0.0037</v>
      </c>
      <c r="L168" s="16">
        <f t="shared" si="23"/>
        <v>0.0148</v>
      </c>
      <c r="M168" s="23" t="s">
        <v>353</v>
      </c>
      <c r="P168" s="26">
        <f t="shared" si="24"/>
        <v>0</v>
      </c>
      <c r="R168" s="26">
        <f t="shared" si="25"/>
        <v>0</v>
      </c>
      <c r="S168" s="26">
        <f t="shared" si="26"/>
        <v>0</v>
      </c>
      <c r="T168" s="26">
        <f t="shared" si="27"/>
        <v>0</v>
      </c>
      <c r="U168" s="26">
        <f t="shared" si="28"/>
        <v>0</v>
      </c>
      <c r="V168" s="26">
        <f t="shared" si="29"/>
        <v>0</v>
      </c>
      <c r="W168" s="26">
        <f t="shared" si="30"/>
        <v>0</v>
      </c>
      <c r="X168" s="26">
        <f t="shared" si="31"/>
        <v>0</v>
      </c>
      <c r="Y168" s="19" t="s">
        <v>90</v>
      </c>
      <c r="Z168" s="16">
        <f t="shared" si="32"/>
        <v>0</v>
      </c>
      <c r="AA168" s="16">
        <f t="shared" si="33"/>
        <v>0</v>
      </c>
      <c r="AB168" s="16">
        <f t="shared" si="34"/>
        <v>0</v>
      </c>
      <c r="AD168" s="26">
        <v>21</v>
      </c>
      <c r="AE168" s="26">
        <f t="shared" si="35"/>
        <v>0</v>
      </c>
      <c r="AF168" s="26">
        <f t="shared" si="36"/>
        <v>0</v>
      </c>
      <c r="AG168" s="23" t="s">
        <v>92</v>
      </c>
      <c r="AM168" s="26">
        <f t="shared" si="37"/>
        <v>0</v>
      </c>
      <c r="AN168" s="26">
        <f t="shared" si="38"/>
        <v>0</v>
      </c>
      <c r="AO168" s="27" t="s">
        <v>386</v>
      </c>
      <c r="AP168" s="27" t="s">
        <v>394</v>
      </c>
      <c r="AQ168" s="19" t="s">
        <v>395</v>
      </c>
      <c r="AS168" s="26">
        <f t="shared" si="39"/>
        <v>0</v>
      </c>
      <c r="AT168" s="26">
        <f t="shared" si="40"/>
        <v>0</v>
      </c>
      <c r="AU168" s="26">
        <v>0</v>
      </c>
      <c r="AV168" s="26">
        <f t="shared" si="41"/>
        <v>0.0148</v>
      </c>
    </row>
    <row r="169" spans="1:48" ht="12.75">
      <c r="A169" s="6" t="s">
        <v>460</v>
      </c>
      <c r="B169" s="6" t="s">
        <v>90</v>
      </c>
      <c r="C169" s="6" t="s">
        <v>180</v>
      </c>
      <c r="D169" s="6" t="s">
        <v>320</v>
      </c>
      <c r="E169" s="6" t="s">
        <v>331</v>
      </c>
      <c r="F169" s="17">
        <v>1</v>
      </c>
      <c r="G169" s="78"/>
      <c r="H169" s="17">
        <f t="shared" si="20"/>
        <v>0</v>
      </c>
      <c r="I169" s="17">
        <f t="shared" si="21"/>
        <v>0</v>
      </c>
      <c r="J169" s="17">
        <f t="shared" si="22"/>
        <v>0</v>
      </c>
      <c r="K169" s="17">
        <v>0.00014</v>
      </c>
      <c r="L169" s="17">
        <f t="shared" si="23"/>
        <v>0.00014</v>
      </c>
      <c r="M169" s="24" t="s">
        <v>353</v>
      </c>
      <c r="P169" s="26">
        <f t="shared" si="24"/>
        <v>0</v>
      </c>
      <c r="R169" s="26">
        <f t="shared" si="25"/>
        <v>0</v>
      </c>
      <c r="S169" s="26">
        <f t="shared" si="26"/>
        <v>0</v>
      </c>
      <c r="T169" s="26">
        <f t="shared" si="27"/>
        <v>0</v>
      </c>
      <c r="U169" s="26">
        <f t="shared" si="28"/>
        <v>0</v>
      </c>
      <c r="V169" s="26">
        <f t="shared" si="29"/>
        <v>0</v>
      </c>
      <c r="W169" s="26">
        <f t="shared" si="30"/>
        <v>0</v>
      </c>
      <c r="X169" s="26">
        <f t="shared" si="31"/>
        <v>0</v>
      </c>
      <c r="Y169" s="19" t="s">
        <v>90</v>
      </c>
      <c r="Z169" s="16">
        <f t="shared" si="32"/>
        <v>0</v>
      </c>
      <c r="AA169" s="16">
        <f t="shared" si="33"/>
        <v>0</v>
      </c>
      <c r="AB169" s="16">
        <f t="shared" si="34"/>
        <v>0</v>
      </c>
      <c r="AD169" s="26">
        <v>21</v>
      </c>
      <c r="AE169" s="26">
        <f t="shared" si="35"/>
        <v>0</v>
      </c>
      <c r="AF169" s="26">
        <f t="shared" si="36"/>
        <v>0</v>
      </c>
      <c r="AG169" s="23" t="s">
        <v>92</v>
      </c>
      <c r="AM169" s="26">
        <f t="shared" si="37"/>
        <v>0</v>
      </c>
      <c r="AN169" s="26">
        <f t="shared" si="38"/>
        <v>0</v>
      </c>
      <c r="AO169" s="27" t="s">
        <v>386</v>
      </c>
      <c r="AP169" s="27" t="s">
        <v>394</v>
      </c>
      <c r="AQ169" s="19" t="s">
        <v>395</v>
      </c>
      <c r="AS169" s="26">
        <f t="shared" si="39"/>
        <v>0</v>
      </c>
      <c r="AT169" s="26">
        <f t="shared" si="40"/>
        <v>0</v>
      </c>
      <c r="AU169" s="26">
        <v>0</v>
      </c>
      <c r="AV169" s="26">
        <f t="shared" si="41"/>
        <v>0.00014</v>
      </c>
    </row>
    <row r="170" spans="1:13" ht="12.75">
      <c r="A170" s="7"/>
      <c r="B170" s="7"/>
      <c r="C170" s="7"/>
      <c r="D170" s="7"/>
      <c r="E170" s="7"/>
      <c r="F170" s="7"/>
      <c r="G170" s="7"/>
      <c r="H170" s="144" t="s">
        <v>341</v>
      </c>
      <c r="I170" s="97"/>
      <c r="J170" s="29">
        <f>(J13+J17+J27+J32+J37+J42+J47+J52+J55+J58+J61+J64+J73+J78+J92+J96+J101+J126+J129+J139+J141+J146+J155+J163)</f>
        <v>0</v>
      </c>
      <c r="K170" s="7"/>
      <c r="L170" s="7"/>
      <c r="M170" s="7"/>
    </row>
    <row r="171" ht="11.25" customHeight="1">
      <c r="A171" s="8" t="s">
        <v>88</v>
      </c>
    </row>
    <row r="172" spans="1:13" ht="12.75">
      <c r="A172" s="103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</sheetData>
  <sheetProtection password="ED26" sheet="1"/>
  <mergeCells count="29">
    <mergeCell ref="H10:J10"/>
    <mergeCell ref="K10:L10"/>
    <mergeCell ref="H170:I170"/>
    <mergeCell ref="A172:M17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Ales</cp:lastModifiedBy>
  <dcterms:created xsi:type="dcterms:W3CDTF">2020-03-25T08:23:44Z</dcterms:created>
  <dcterms:modified xsi:type="dcterms:W3CDTF">2020-06-26T07:13:25Z</dcterms:modified>
  <cp:category/>
  <cp:version/>
  <cp:contentType/>
  <cp:contentStatus/>
</cp:coreProperties>
</file>