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505" yWindow="-15" windowWidth="14310" windowHeight="12540"/>
  </bookViews>
  <sheets>
    <sheet name="Rekapitulace" sheetId="4" r:id="rId1"/>
    <sheet name="VÝMĚNA V+K" sheetId="2" r:id="rId2"/>
    <sheet name="VRN_Vedlejší rozpočtové náklady" sheetId="3" r:id="rId3"/>
  </sheets>
  <definedNames>
    <definedName name="_FilterDatabase" localSheetId="1" hidden="1">'VÝMĚNA V+K'!$A$6:$H$676</definedName>
    <definedName name="_xlnm.Print_Area" localSheetId="0">Rekapitulace!$A$1:$B$12</definedName>
    <definedName name="_xlnm.Print_Area" localSheetId="2">'VRN_Vedlejší rozpočtové náklady'!$A$1:$H$19</definedName>
    <definedName name="_xlnm.Print_Area" localSheetId="1">'VÝMĚNA V+K'!$A$1:$H$680</definedName>
    <definedName name="Print_Area" localSheetId="1">'VÝMĚNA V+K'!$A$1:$H$2,'VÝMĚNA V+K'!#REF!,'VÝMĚNA V+K'!$A$4:$H$676</definedName>
    <definedName name="Print_Titles" localSheetId="1">'VÝMĚNA V+K'!$6:$6</definedName>
  </definedNames>
  <calcPr calcId="145621"/>
</workbook>
</file>

<file path=xl/calcChain.xml><?xml version="1.0" encoding="utf-8"?>
<calcChain xmlns="http://schemas.openxmlformats.org/spreadsheetml/2006/main">
  <c r="H18" i="3" l="1"/>
  <c r="H10" i="3"/>
  <c r="H11" i="3"/>
  <c r="H12" i="3"/>
  <c r="H13" i="3"/>
  <c r="H14" i="3"/>
  <c r="H15" i="3"/>
  <c r="H9" i="3"/>
  <c r="H679" i="2"/>
  <c r="H640" i="2" l="1"/>
  <c r="E222" i="2" l="1"/>
  <c r="E230" i="2"/>
  <c r="E232" i="2"/>
  <c r="E228" i="2"/>
  <c r="E224" i="2"/>
  <c r="E233" i="2" s="1"/>
  <c r="E225" i="2"/>
  <c r="E226" i="2"/>
  <c r="H222" i="2"/>
  <c r="H676" i="2" l="1"/>
  <c r="H599" i="2"/>
  <c r="H601" i="2"/>
  <c r="H603" i="2"/>
  <c r="H605" i="2"/>
  <c r="H632" i="2"/>
  <c r="H634" i="2"/>
  <c r="H636" i="2"/>
  <c r="H638" i="2"/>
  <c r="H597" i="2"/>
  <c r="H415" i="2"/>
  <c r="H417" i="2"/>
  <c r="H488" i="2"/>
  <c r="H528" i="2"/>
  <c r="H530" i="2"/>
  <c r="H532" i="2"/>
  <c r="H307" i="2"/>
  <c r="H309" i="2"/>
  <c r="H311" i="2"/>
  <c r="H313" i="2"/>
  <c r="H315" i="2"/>
  <c r="H317" i="2"/>
  <c r="H319" i="2"/>
  <c r="H321" i="2"/>
  <c r="H326" i="2"/>
  <c r="H345" i="2"/>
  <c r="H347" i="2"/>
  <c r="H349" i="2"/>
  <c r="H354" i="2"/>
  <c r="H381" i="2"/>
  <c r="H383" i="2"/>
  <c r="H387" i="2"/>
  <c r="H389" i="2"/>
  <c r="H392" i="2"/>
  <c r="H394" i="2"/>
  <c r="H396" i="2"/>
  <c r="H400" i="2"/>
  <c r="H404" i="2"/>
  <c r="H406" i="2"/>
  <c r="H408" i="2"/>
  <c r="H411" i="2"/>
  <c r="H412" i="2"/>
  <c r="H413" i="2"/>
  <c r="H425" i="2"/>
  <c r="H427" i="2"/>
  <c r="H431" i="2"/>
  <c r="H433" i="2"/>
  <c r="H439" i="2"/>
  <c r="H441" i="2"/>
  <c r="H484" i="2"/>
  <c r="H486" i="2"/>
  <c r="H491" i="2"/>
  <c r="H501" i="2"/>
  <c r="H509" i="2"/>
  <c r="H516" i="2"/>
  <c r="H526" i="2"/>
  <c r="H534" i="2"/>
  <c r="H536" i="2"/>
  <c r="H538" i="2"/>
  <c r="H545" i="2"/>
  <c r="H557" i="2"/>
  <c r="H559" i="2"/>
  <c r="H561" i="2"/>
  <c r="H563" i="2"/>
  <c r="H565" i="2"/>
  <c r="H567" i="2"/>
  <c r="H569" i="2"/>
  <c r="H571" i="2"/>
  <c r="H573" i="2"/>
  <c r="H575" i="2"/>
  <c r="H577" i="2"/>
  <c r="H582" i="2"/>
  <c r="H584" i="2"/>
  <c r="E524" i="2"/>
  <c r="E521" i="2" s="1"/>
  <c r="H521" i="2" s="1"/>
  <c r="E21" i="2"/>
  <c r="E20" i="2"/>
  <c r="H16" i="3"/>
  <c r="E22" i="2" l="1"/>
  <c r="E19" i="2"/>
  <c r="H19" i="2" s="1"/>
  <c r="B7" i="4"/>
  <c r="E385" i="2" l="1"/>
  <c r="H385" i="2" s="1"/>
  <c r="E402" i="2"/>
  <c r="H402" i="2" s="1"/>
  <c r="J565" i="2"/>
  <c r="J567" i="2"/>
  <c r="J569" i="2"/>
  <c r="J571" i="2"/>
  <c r="J573" i="2"/>
  <c r="J575" i="2"/>
  <c r="J577" i="2"/>
  <c r="J561" i="2"/>
  <c r="J559" i="2"/>
  <c r="J552" i="2"/>
  <c r="J547" i="2"/>
  <c r="J538" i="2"/>
  <c r="J511" i="2"/>
  <c r="J503" i="2"/>
  <c r="J491" i="2"/>
  <c r="J488" i="2"/>
  <c r="J486" i="2"/>
  <c r="J501" i="2"/>
  <c r="J499" i="2"/>
  <c r="J496" i="2"/>
  <c r="J479" i="2"/>
  <c r="J474" i="2"/>
  <c r="J463" i="2"/>
  <c r="J455" i="2"/>
  <c r="J400" i="2"/>
  <c r="K417" i="2"/>
  <c r="E378" i="2" l="1"/>
  <c r="H378" i="2" s="1"/>
  <c r="E352" i="2"/>
  <c r="E351" i="2" s="1"/>
  <c r="H351" i="2" s="1"/>
  <c r="E283" i="2"/>
  <c r="E278" i="2"/>
  <c r="E257" i="2"/>
  <c r="E258" i="2"/>
  <c r="E213" i="2"/>
  <c r="E214" i="2"/>
  <c r="E161" i="2"/>
  <c r="E160" i="2"/>
  <c r="E111" i="2"/>
  <c r="E67" i="2"/>
  <c r="E66" i="2"/>
  <c r="E437" i="2" l="1"/>
  <c r="H437" i="2" s="1"/>
  <c r="M408" i="2"/>
  <c r="K408" i="2"/>
  <c r="E375" i="2"/>
  <c r="H375" i="2" s="1"/>
  <c r="E370" i="2"/>
  <c r="H370" i="2" s="1"/>
  <c r="J351" i="2"/>
  <c r="J333" i="2"/>
  <c r="E373" i="2" l="1"/>
  <c r="H373" i="2" s="1"/>
  <c r="E218" i="2"/>
  <c r="E199" i="2" s="1"/>
  <c r="H199" i="2" s="1"/>
  <c r="E211" i="2"/>
  <c r="E207" i="2"/>
  <c r="E206" i="2"/>
  <c r="E204" i="2"/>
  <c r="E203" i="2"/>
  <c r="E202" i="2"/>
  <c r="E208" i="2" l="1"/>
  <c r="E215" i="2"/>
  <c r="E555" i="2"/>
  <c r="E552" i="2" s="1"/>
  <c r="H552" i="2" s="1"/>
  <c r="E550" i="2"/>
  <c r="E547" i="2" s="1"/>
  <c r="H547" i="2" s="1"/>
  <c r="E514" i="2"/>
  <c r="E511" i="2" s="1"/>
  <c r="H511" i="2" s="1"/>
  <c r="K488" i="2"/>
  <c r="M313" i="2"/>
  <c r="K313" i="2"/>
  <c r="E543" i="2" l="1"/>
  <c r="H543" i="2" s="1"/>
  <c r="E216" i="2"/>
  <c r="L295" i="2"/>
  <c r="M295" i="2" s="1"/>
  <c r="E16" i="2" l="1"/>
  <c r="E15" i="2"/>
  <c r="K19" i="2" l="1"/>
  <c r="K307" i="2"/>
  <c r="K309" i="2"/>
  <c r="K311" i="2"/>
  <c r="K315" i="2"/>
  <c r="K317" i="2"/>
  <c r="K319" i="2"/>
  <c r="K321" i="2"/>
  <c r="K326" i="2"/>
  <c r="K347" i="2"/>
  <c r="K370" i="2"/>
  <c r="K375" i="2"/>
  <c r="K378" i="2"/>
  <c r="K381" i="2"/>
  <c r="K383" i="2"/>
  <c r="K385" i="2"/>
  <c r="K387" i="2"/>
  <c r="K389" i="2"/>
  <c r="K394" i="2"/>
  <c r="K396" i="2"/>
  <c r="K400" i="2"/>
  <c r="K404" i="2"/>
  <c r="K406" i="2"/>
  <c r="K411" i="2"/>
  <c r="K413" i="2"/>
  <c r="K415" i="2"/>
  <c r="K425" i="2"/>
  <c r="K431" i="2"/>
  <c r="K433" i="2"/>
  <c r="K437" i="2"/>
  <c r="K439" i="2"/>
  <c r="K441" i="2"/>
  <c r="K484" i="2"/>
  <c r="K486" i="2"/>
  <c r="K491" i="2"/>
  <c r="K492" i="2"/>
  <c r="K501" i="2"/>
  <c r="K509" i="2"/>
  <c r="K511" i="2"/>
  <c r="K516" i="2"/>
  <c r="K521" i="2"/>
  <c r="K526" i="2"/>
  <c r="K530" i="2"/>
  <c r="K532" i="2"/>
  <c r="K534" i="2"/>
  <c r="K536" i="2"/>
  <c r="K538" i="2"/>
  <c r="K543" i="2"/>
  <c r="K545" i="2"/>
  <c r="K547" i="2"/>
  <c r="K552" i="2"/>
  <c r="K557" i="2"/>
  <c r="K559" i="2"/>
  <c r="K561" i="2"/>
  <c r="K563" i="2"/>
  <c r="K565" i="2"/>
  <c r="K567" i="2"/>
  <c r="K569" i="2"/>
  <c r="K571" i="2"/>
  <c r="K573" i="2"/>
  <c r="K575" i="2"/>
  <c r="K577" i="2"/>
  <c r="K597" i="2"/>
  <c r="K599" i="2"/>
  <c r="K601" i="2"/>
  <c r="K603" i="2"/>
  <c r="D666" i="2"/>
  <c r="E663" i="2"/>
  <c r="E662" i="2" s="1"/>
  <c r="H662" i="2" s="1"/>
  <c r="E655" i="2"/>
  <c r="E654" i="2" s="1"/>
  <c r="H654" i="2" s="1"/>
  <c r="L24" i="2"/>
  <c r="E622" i="2" l="1"/>
  <c r="E623" i="2"/>
  <c r="E625" i="2"/>
  <c r="E621" i="2"/>
  <c r="E620" i="2"/>
  <c r="E619" i="2"/>
  <c r="E615" i="2"/>
  <c r="E614" i="2"/>
  <c r="E613" i="2"/>
  <c r="E612" i="2"/>
  <c r="E609" i="2"/>
  <c r="E608" i="2"/>
  <c r="E610" i="2" l="1"/>
  <c r="E624" i="2"/>
  <c r="E616" i="2"/>
  <c r="E300" i="2"/>
  <c r="E289" i="2"/>
  <c r="E284" i="2"/>
  <c r="E279" i="2"/>
  <c r="M287" i="2"/>
  <c r="M276" i="2"/>
  <c r="E170" i="2"/>
  <c r="E169" i="2"/>
  <c r="E168" i="2"/>
  <c r="E167" i="2"/>
  <c r="E166" i="2"/>
  <c r="E165" i="2"/>
  <c r="E112" i="2"/>
  <c r="E81" i="2"/>
  <c r="E80" i="2"/>
  <c r="E79" i="2"/>
  <c r="E78" i="2"/>
  <c r="E77" i="2"/>
  <c r="E64" i="2"/>
  <c r="E63" i="2"/>
  <c r="E62" i="2"/>
  <c r="E56" i="2"/>
  <c r="E52" i="2"/>
  <c r="E48" i="2"/>
  <c r="E338" i="2"/>
  <c r="E626" i="2" l="1"/>
  <c r="E607" i="2" s="1"/>
  <c r="H607" i="2" s="1"/>
  <c r="E285" i="2"/>
  <c r="E282" i="2" s="1"/>
  <c r="E265" i="2"/>
  <c r="E248" i="2"/>
  <c r="E178" i="2"/>
  <c r="E181" i="2"/>
  <c r="E177" i="2"/>
  <c r="E148" i="2"/>
  <c r="E149" i="2"/>
  <c r="E118" i="2"/>
  <c r="E38" i="2"/>
  <c r="E54" i="2"/>
  <c r="E55" i="2"/>
  <c r="E99" i="2"/>
  <c r="E151" i="2"/>
  <c r="E102" i="2"/>
  <c r="E57" i="2"/>
  <c r="K282" i="2" l="1"/>
  <c r="H282" i="2"/>
  <c r="E337" i="2"/>
  <c r="K392" i="2"/>
  <c r="E398" i="2"/>
  <c r="H398" i="2" s="1"/>
  <c r="K402" i="2"/>
  <c r="E435" i="2"/>
  <c r="H435" i="2" s="1"/>
  <c r="E468" i="2"/>
  <c r="E467" i="2"/>
  <c r="E503" i="2"/>
  <c r="H503" i="2" s="1"/>
  <c r="E506" i="2"/>
  <c r="H506" i="2" s="1"/>
  <c r="K398" i="2" l="1"/>
  <c r="K506" i="2"/>
  <c r="E429" i="2"/>
  <c r="H429" i="2" s="1"/>
  <c r="K503" i="2"/>
  <c r="K435" i="2"/>
  <c r="K429" i="2" l="1"/>
  <c r="E579" i="2"/>
  <c r="H579" i="2" s="1"/>
  <c r="K579" i="2" l="1"/>
  <c r="E541" i="2"/>
  <c r="E519" i="2"/>
  <c r="E496" i="2" l="1"/>
  <c r="H496" i="2" s="1"/>
  <c r="E482" i="2"/>
  <c r="E339" i="2"/>
  <c r="E469" i="2"/>
  <c r="E472" i="2" s="1"/>
  <c r="E463" i="2"/>
  <c r="H463" i="2" s="1"/>
  <c r="E461" i="2"/>
  <c r="E458" i="2" s="1"/>
  <c r="H458" i="2" s="1"/>
  <c r="E452" i="2"/>
  <c r="E451" i="2"/>
  <c r="E450" i="2"/>
  <c r="K463" i="2" l="1"/>
  <c r="E499" i="2"/>
  <c r="H499" i="2" s="1"/>
  <c r="K496" i="2"/>
  <c r="E479" i="2"/>
  <c r="H479" i="2" s="1"/>
  <c r="E453" i="2"/>
  <c r="M389" i="2"/>
  <c r="M406" i="2"/>
  <c r="M387" i="2"/>
  <c r="M385" i="2"/>
  <c r="K373" i="2"/>
  <c r="M375" i="2"/>
  <c r="E367" i="2"/>
  <c r="H367" i="2" s="1"/>
  <c r="E362" i="2"/>
  <c r="H362" i="2" s="1"/>
  <c r="K499" i="2" l="1"/>
  <c r="E358" i="2"/>
  <c r="E494" i="2"/>
  <c r="H494" i="2" s="1"/>
  <c r="K367" i="2"/>
  <c r="E365" i="2"/>
  <c r="H365" i="2" s="1"/>
  <c r="K351" i="2"/>
  <c r="K349" i="2"/>
  <c r="K362" i="2"/>
  <c r="E477" i="2"/>
  <c r="H477" i="2" s="1"/>
  <c r="K479" i="2"/>
  <c r="K345" i="2"/>
  <c r="E323" i="2"/>
  <c r="H323" i="2" s="1"/>
  <c r="E329" i="2"/>
  <c r="E328" i="2" s="1"/>
  <c r="H328" i="2" s="1"/>
  <c r="K358" i="2" l="1"/>
  <c r="H358" i="2"/>
  <c r="K477" i="2"/>
  <c r="E356" i="2"/>
  <c r="H356" i="2" s="1"/>
  <c r="K494" i="2"/>
  <c r="K323" i="2"/>
  <c r="K365" i="2"/>
  <c r="K328" i="2"/>
  <c r="E305" i="2"/>
  <c r="E84" i="2"/>
  <c r="E82" i="2"/>
  <c r="E240" i="2"/>
  <c r="E266" i="2"/>
  <c r="E262" i="2"/>
  <c r="E263" i="2"/>
  <c r="E264" i="2"/>
  <c r="E259" i="2"/>
  <c r="E255" i="2"/>
  <c r="E254" i="2"/>
  <c r="E253" i="2"/>
  <c r="E252" i="2"/>
  <c r="E247" i="2"/>
  <c r="E245" i="2"/>
  <c r="E246" i="2"/>
  <c r="E243" i="2"/>
  <c r="E242" i="2"/>
  <c r="E241" i="2"/>
  <c r="E239" i="2"/>
  <c r="E180" i="2"/>
  <c r="E173" i="2"/>
  <c r="E171" i="2"/>
  <c r="E172" i="2" s="1"/>
  <c r="E162" i="2"/>
  <c r="E155" i="2"/>
  <c r="E156" i="2"/>
  <c r="E157" i="2"/>
  <c r="E158" i="2"/>
  <c r="E150" i="2"/>
  <c r="E145" i="2"/>
  <c r="E146" i="2"/>
  <c r="E144" i="2"/>
  <c r="E143" i="2"/>
  <c r="E142" i="2"/>
  <c r="E120" i="2"/>
  <c r="E119" i="2"/>
  <c r="E116" i="2"/>
  <c r="E117" i="2"/>
  <c r="E113" i="2"/>
  <c r="E109" i="2"/>
  <c r="E108" i="2"/>
  <c r="E100" i="2"/>
  <c r="E101" i="2"/>
  <c r="E68" i="2"/>
  <c r="E42" i="2"/>
  <c r="E39" i="2"/>
  <c r="E40" i="2"/>
  <c r="E37" i="2"/>
  <c r="E32" i="2"/>
  <c r="E31" i="2"/>
  <c r="K356" i="2" l="1"/>
  <c r="K305" i="2"/>
  <c r="H305" i="2"/>
  <c r="E83" i="2"/>
  <c r="E249" i="2"/>
  <c r="E152" i="2"/>
  <c r="E260" i="2"/>
  <c r="E121" i="2"/>
  <c r="E267" i="2"/>
  <c r="E174" i="2"/>
  <c r="E163" i="2"/>
  <c r="E85" i="2"/>
  <c r="E36" i="2"/>
  <c r="E41" i="2" l="1"/>
  <c r="E75" i="2"/>
  <c r="E268" i="2"/>
  <c r="K75" i="2" l="1"/>
  <c r="H75" i="2"/>
  <c r="E296" i="2"/>
  <c r="E295" i="2" s="1"/>
  <c r="H295" i="2" s="1"/>
  <c r="E419" i="2"/>
  <c r="H419" i="2" s="1"/>
  <c r="K295" i="2" l="1"/>
  <c r="E422" i="2"/>
  <c r="H422" i="2" s="1"/>
  <c r="K419" i="2"/>
  <c r="E449" i="2"/>
  <c r="H449" i="2" s="1"/>
  <c r="E466" i="2"/>
  <c r="H466" i="2" s="1"/>
  <c r="E340" i="2"/>
  <c r="E592" i="2" l="1"/>
  <c r="H592" i="2" s="1"/>
  <c r="K422" i="2"/>
  <c r="E475" i="2"/>
  <c r="E474" i="2" s="1"/>
  <c r="H474" i="2" s="1"/>
  <c r="E589" i="2"/>
  <c r="H589" i="2" s="1"/>
  <c r="K449" i="2"/>
  <c r="K466" i="2"/>
  <c r="E456" i="2"/>
  <c r="E455" i="2" s="1"/>
  <c r="H455" i="2" s="1"/>
  <c r="E336" i="2"/>
  <c r="H336" i="2" s="1"/>
  <c r="E331" i="2"/>
  <c r="H331" i="2" s="1"/>
  <c r="E179" i="2"/>
  <c r="E176" i="2"/>
  <c r="K455" i="2" l="1"/>
  <c r="E586" i="2"/>
  <c r="H586" i="2" s="1"/>
  <c r="E443" i="2"/>
  <c r="H443" i="2" s="1"/>
  <c r="K474" i="2"/>
  <c r="E334" i="2"/>
  <c r="K331" i="2"/>
  <c r="E343" i="2"/>
  <c r="K336" i="2"/>
  <c r="E333" i="2"/>
  <c r="H333" i="2" s="1"/>
  <c r="E182" i="2"/>
  <c r="E183" i="2" s="1"/>
  <c r="E106" i="2"/>
  <c r="E107" i="2"/>
  <c r="E97" i="2"/>
  <c r="E96" i="2"/>
  <c r="E95" i="2"/>
  <c r="E94" i="2"/>
  <c r="E93" i="2"/>
  <c r="E61" i="2"/>
  <c r="E30" i="2"/>
  <c r="E51" i="2"/>
  <c r="E50" i="2"/>
  <c r="E49" i="2"/>
  <c r="E29" i="2"/>
  <c r="E26" i="2"/>
  <c r="E25" i="2"/>
  <c r="K443" i="2" l="1"/>
  <c r="E446" i="2"/>
  <c r="H446" i="2" s="1"/>
  <c r="K333" i="2"/>
  <c r="E33" i="2"/>
  <c r="E58" i="2"/>
  <c r="E103" i="2"/>
  <c r="E114" i="2"/>
  <c r="E27" i="2"/>
  <c r="E237" i="2"/>
  <c r="E69" i="2"/>
  <c r="K446" i="2" l="1"/>
  <c r="K237" i="2"/>
  <c r="H237" i="2"/>
  <c r="E43" i="2"/>
  <c r="E274" i="2" s="1"/>
  <c r="E122" i="2"/>
  <c r="E92" i="2" s="1"/>
  <c r="E139" i="2"/>
  <c r="H139" i="2" s="1"/>
  <c r="E342" i="2"/>
  <c r="H342" i="2" s="1"/>
  <c r="E24" i="2" l="1"/>
  <c r="H24" i="2" s="1"/>
  <c r="K342" i="2"/>
  <c r="K92" i="2"/>
  <c r="H92" i="2"/>
  <c r="E10" i="2"/>
  <c r="E189" i="2"/>
  <c r="K139" i="2"/>
  <c r="E628" i="2"/>
  <c r="E293" i="2"/>
  <c r="E292" i="2" s="1"/>
  <c r="E273" i="2"/>
  <c r="E288" i="2"/>
  <c r="E196" i="2"/>
  <c r="E186" i="2"/>
  <c r="E185" i="2" s="1"/>
  <c r="E188" i="2"/>
  <c r="E195" i="2"/>
  <c r="E194" i="2"/>
  <c r="M24" i="2" l="1"/>
  <c r="E646" i="2" s="1"/>
  <c r="E14" i="2"/>
  <c r="E277" i="2"/>
  <c r="E280" i="2" s="1"/>
  <c r="E276" i="2" s="1"/>
  <c r="H276" i="2" s="1"/>
  <c r="K24" i="2"/>
  <c r="E630" i="2"/>
  <c r="H630" i="2" s="1"/>
  <c r="H628" i="2"/>
  <c r="K273" i="2"/>
  <c r="H273" i="2"/>
  <c r="K292" i="2"/>
  <c r="H292" i="2"/>
  <c r="K185" i="2"/>
  <c r="H185" i="2"/>
  <c r="E9" i="2"/>
  <c r="E17" i="2"/>
  <c r="K188" i="2"/>
  <c r="H188" i="2"/>
  <c r="D660" i="2"/>
  <c r="E660" i="2" s="1"/>
  <c r="E659" i="2" s="1"/>
  <c r="H659" i="2" s="1"/>
  <c r="E669" i="2"/>
  <c r="E668" i="2" s="1"/>
  <c r="H668" i="2" s="1"/>
  <c r="E290" i="2"/>
  <c r="E287" i="2" s="1"/>
  <c r="H287" i="2" s="1"/>
  <c r="E299" i="2" l="1"/>
  <c r="E301" i="2" s="1"/>
  <c r="E298" i="2" s="1"/>
  <c r="K276" i="2"/>
  <c r="K298" i="2"/>
  <c r="H298" i="2"/>
  <c r="H9" i="2"/>
  <c r="M9" i="2"/>
  <c r="E647" i="2" s="1"/>
  <c r="E666" i="2" s="1"/>
  <c r="E665" i="2" s="1"/>
  <c r="H665" i="2" s="1"/>
  <c r="K9" i="2"/>
  <c r="E12" i="2"/>
  <c r="K287" i="2"/>
  <c r="E89" i="2"/>
  <c r="E124" i="2"/>
  <c r="E70" i="2"/>
  <c r="E220" i="2" l="1"/>
  <c r="H220" i="2" s="1"/>
  <c r="H12" i="2"/>
  <c r="M12" i="2"/>
  <c r="E648" i="2" s="1"/>
  <c r="E672" i="2" s="1"/>
  <c r="E671" i="2" s="1"/>
  <c r="H671" i="2" s="1"/>
  <c r="K12" i="2"/>
  <c r="E45" i="2"/>
  <c r="H45" i="2" s="1"/>
  <c r="K124" i="2"/>
  <c r="H124" i="2"/>
  <c r="K45" i="2"/>
  <c r="E72" i="2"/>
  <c r="E88" i="2"/>
  <c r="E90" i="2" s="1"/>
  <c r="E87" i="2" s="1"/>
  <c r="E73" i="2" l="1"/>
  <c r="E193" i="2"/>
  <c r="E197" i="2" s="1"/>
  <c r="E191" i="2" s="1"/>
  <c r="H191" i="2" s="1"/>
  <c r="K220" i="2"/>
  <c r="K87" i="2"/>
  <c r="H87" i="2"/>
  <c r="K72" i="2"/>
  <c r="H72" i="2"/>
  <c r="K191" i="2"/>
  <c r="E652" i="2"/>
  <c r="E649" i="2"/>
  <c r="E645" i="2" s="1"/>
  <c r="H645" i="2" s="1"/>
  <c r="K199" i="2"/>
  <c r="E127" i="2" l="1"/>
  <c r="E126" i="2" s="1"/>
  <c r="H126" i="2" s="1"/>
  <c r="E200" i="2"/>
  <c r="E217" i="2" s="1"/>
  <c r="E130" i="2" s="1"/>
  <c r="E129" i="2" s="1"/>
  <c r="H129" i="2" s="1"/>
  <c r="K129" i="2"/>
  <c r="K126" i="2"/>
  <c r="E651" i="2"/>
  <c r="H651" i="2" s="1"/>
  <c r="E657" i="2"/>
  <c r="E656" i="2" s="1"/>
  <c r="H656" i="2" s="1"/>
  <c r="E133" i="2" l="1"/>
  <c r="E135" i="2"/>
  <c r="E132" i="2"/>
  <c r="M396" i="2"/>
  <c r="K132" i="2" l="1"/>
  <c r="H132" i="2"/>
  <c r="E137" i="2"/>
  <c r="H135" i="2"/>
  <c r="K135" i="2"/>
  <c r="J354" i="2"/>
  <c r="K354" i="2" s="1"/>
  <c r="K137" i="2" l="1"/>
  <c r="H137" i="2"/>
  <c r="H234" i="2" s="1"/>
  <c r="M446" i="2"/>
  <c r="M443" i="2"/>
  <c r="M437" i="2"/>
  <c r="M433" i="2"/>
  <c r="M431" i="2"/>
  <c r="M411" i="2"/>
  <c r="M404" i="2"/>
  <c r="M400" i="2"/>
  <c r="M398" i="2"/>
  <c r="M394" i="2"/>
  <c r="M392" i="2"/>
  <c r="M383" i="2"/>
  <c r="M381" i="2"/>
  <c r="M378" i="2"/>
  <c r="M354" i="2"/>
  <c r="M351" i="2"/>
  <c r="M349" i="2"/>
  <c r="M336" i="2"/>
  <c r="M307" i="2"/>
  <c r="M309" i="2"/>
  <c r="M311" i="2"/>
  <c r="M315" i="2"/>
  <c r="M317" i="2"/>
  <c r="M319" i="2"/>
  <c r="M331" i="2"/>
  <c r="M305" i="2"/>
  <c r="M75" i="2"/>
  <c r="H677" i="2" l="1"/>
  <c r="H270" i="2"/>
  <c r="H302" i="2" l="1"/>
  <c r="M422" i="2"/>
  <c r="M419" i="2"/>
  <c r="M342" i="2"/>
  <c r="M435" i="2"/>
  <c r="H673" i="2"/>
  <c r="H642" i="2"/>
  <c r="M402" i="2" l="1"/>
  <c r="M429" i="2"/>
  <c r="M237" i="2" l="1"/>
  <c r="M220" i="2" l="1"/>
  <c r="M298" i="2" l="1"/>
  <c r="M292" i="2"/>
  <c r="M188" i="2" l="1"/>
  <c r="M185" i="2"/>
  <c r="M139" i="2"/>
  <c r="M282" i="2" l="1"/>
  <c r="M124" i="2"/>
  <c r="M126" i="2"/>
  <c r="M132" i="2"/>
  <c r="M92" i="2"/>
  <c r="M129" i="2"/>
  <c r="M137" i="2" l="1"/>
  <c r="M273" i="2"/>
  <c r="M135" i="2"/>
  <c r="M45" i="2"/>
  <c r="M87" i="2"/>
  <c r="M72" i="2" l="1"/>
  <c r="M425" i="2" l="1"/>
  <c r="M333" i="2"/>
  <c r="M373" i="2"/>
  <c r="M439" i="2"/>
  <c r="M441" i="2"/>
  <c r="M191" i="2" l="1"/>
  <c r="M199" i="2"/>
  <c r="K679" i="2" l="1"/>
  <c r="H594" i="2" l="1"/>
  <c r="B6" i="4" l="1"/>
  <c r="B9" i="4" s="1"/>
  <c r="B10" i="4" s="1"/>
  <c r="B11" i="4" s="1"/>
</calcChain>
</file>

<file path=xl/sharedStrings.xml><?xml version="1.0" encoding="utf-8"?>
<sst xmlns="http://schemas.openxmlformats.org/spreadsheetml/2006/main" count="1378" uniqueCount="641">
  <si>
    <t/>
  </si>
  <si>
    <t>Kód</t>
  </si>
  <si>
    <t>Typ</t>
  </si>
  <si>
    <t>D</t>
  </si>
  <si>
    <t>1</t>
  </si>
  <si>
    <t>PČ</t>
  </si>
  <si>
    <t>Popis</t>
  </si>
  <si>
    <t>MJ</t>
  </si>
  <si>
    <t>Množství</t>
  </si>
  <si>
    <t>HSV</t>
  </si>
  <si>
    <t>Práce a dodávky HSV</t>
  </si>
  <si>
    <t>Zemní práce</t>
  </si>
  <si>
    <t>K</t>
  </si>
  <si>
    <t>m2</t>
  </si>
  <si>
    <t>4</t>
  </si>
  <si>
    <t>132201202</t>
  </si>
  <si>
    <t>Hloubení rýh š do 2000 mm v hornině tř. 3 objemu do 1000 m3</t>
  </si>
  <si>
    <t>m3</t>
  </si>
  <si>
    <t>Součet</t>
  </si>
  <si>
    <t>5</t>
  </si>
  <si>
    <t>132201209</t>
  </si>
  <si>
    <t>Příplatek za lepivost k hloubení rýh š do 2000 mm v hornině tř. 3</t>
  </si>
  <si>
    <t>8</t>
  </si>
  <si>
    <t>133202012</t>
  </si>
  <si>
    <t>Hloubení šachet ručním nebo pneum nářadím v soudržných horninách tř. 3, plocha výkopu do 20 m2</t>
  </si>
  <si>
    <t>9</t>
  </si>
  <si>
    <t>161101101</t>
  </si>
  <si>
    <t>Svislé přemístění výkopku z horniny tř. 1 až 4 hl výkopu do 2,5 m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</si>
  <si>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</si>
  <si>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</si>
  <si>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</si>
  <si>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</si>
  <si>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167101102</t>
  </si>
  <si>
    <t>Nakládání výkopku z hornin tř. 1 až 4 přes 100 m3</t>
  </si>
  <si>
    <t>162701105</t>
  </si>
  <si>
    <t>Vodorovné přemístění do 10000 m výkopku/sypaniny z horniny tř. 1 až 4</t>
  </si>
  <si>
    <t>162701109</t>
  </si>
  <si>
    <t>Příplatek k vodorovnému přemístění výkopku/sypaniny z horniny tř. 1 až 4 ZKD 1000 m přes 10000 m</t>
  </si>
  <si>
    <t>171201201</t>
  </si>
  <si>
    <t>Uložení sypaniny na skládky</t>
  </si>
  <si>
    <t>171201211</t>
  </si>
  <si>
    <t>Poplatek za uložení odpadu ze sypaniny na skládce (skládkovné)</t>
  </si>
  <si>
    <t>t</t>
  </si>
  <si>
    <t>175151101</t>
  </si>
  <si>
    <t>Obsypání potrubí strojně sypaninou bez prohození, uloženou do 3 m</t>
  </si>
  <si>
    <t>175111109</t>
  </si>
  <si>
    <t>Příplatek k obsypání potrubí za ruční prohození sypaniny, uložené do 3 m</t>
  </si>
  <si>
    <t>M</t>
  </si>
  <si>
    <t>583312000</t>
  </si>
  <si>
    <t>štěrkopísek netříděný zásypový materiál</t>
  </si>
  <si>
    <t>174101101</t>
  </si>
  <si>
    <t>Zásyp jam, šachet rýh nebo kolem objektů sypaninou se zhutněním</t>
  </si>
  <si>
    <t>583441970</t>
  </si>
  <si>
    <t>štěrkodrť frakce 0-63</t>
  </si>
  <si>
    <t>181151311</t>
  </si>
  <si>
    <t>Plošná úprava terénu přes 500 m2 zemina tř 1 až 4 nerovnosti do +/- 100 mm v rovinně a svahu do 1:5</t>
  </si>
  <si>
    <t>Vodorovné konstrukce</t>
  </si>
  <si>
    <t>451572111</t>
  </si>
  <si>
    <t>Lože pod potrubí otevřený výkop z kameniva drobného těženého</t>
  </si>
  <si>
    <t>Komunikace pozemní</t>
  </si>
  <si>
    <t>564861111</t>
  </si>
  <si>
    <t>Podklad ze štěrkodrtě ŠD tl 200 mm  fr.0/63</t>
  </si>
  <si>
    <t>564851111</t>
  </si>
  <si>
    <t>Podklad ze štěrkodrtě ŠD tl 150 mm fr.0/32</t>
  </si>
  <si>
    <t>Trubní vedení</t>
  </si>
  <si>
    <t>R001</t>
  </si>
  <si>
    <t>m</t>
  </si>
  <si>
    <t>734100812</t>
  </si>
  <si>
    <t>Demontáž armatury přírubové se dvěma přírubami do DN 100</t>
  </si>
  <si>
    <t>kus</t>
  </si>
  <si>
    <t>734100823</t>
  </si>
  <si>
    <t>Demontáž armatury přírubové se třemi přírubami do DN 150</t>
  </si>
  <si>
    <t>891261811</t>
  </si>
  <si>
    <t>Demontáž vodovodních šoupátek otevřený výkop DN 100</t>
  </si>
  <si>
    <t>899101211</t>
  </si>
  <si>
    <t>Demontáž poklopů litinových nebo ocelových včetně rámů hmotnosti do 50 kg</t>
  </si>
  <si>
    <t>891181811</t>
  </si>
  <si>
    <t>Demontáž vodovodních šoupátek otevřený výkop DN 40</t>
  </si>
  <si>
    <t>734200811</t>
  </si>
  <si>
    <t>Demontáž armatury závitové s jedním závitem do G 1/2</t>
  </si>
  <si>
    <t>871161211</t>
  </si>
  <si>
    <t>Montáž potrubí z PE100 SDR 11 otevřený výkop svařovaných elektrotvarovkou D 32 x 3,0 mm</t>
  </si>
  <si>
    <t>R004</t>
  </si>
  <si>
    <t>R005</t>
  </si>
  <si>
    <t>Montáž vodovodních šoupátek otevřený výkop DN 40</t>
  </si>
  <si>
    <t>722219191</t>
  </si>
  <si>
    <t>Montáž zemních souprav šoupátkových</t>
  </si>
  <si>
    <t>892372111</t>
  </si>
  <si>
    <t>Zabezpečení konců potrubí DN do 300 při tlakových zkouškách vodou</t>
  </si>
  <si>
    <t>115101201</t>
  </si>
  <si>
    <t>Čerpání vody na dopravní výšku do 10 m průměrný přítok do 500 l/min</t>
  </si>
  <si>
    <t>hod</t>
  </si>
  <si>
    <t>899401112</t>
  </si>
  <si>
    <t>Osazení poklopů litinových šoupátkových</t>
  </si>
  <si>
    <t>899401113</t>
  </si>
  <si>
    <t>Osazení poklopů litinových hydrantových</t>
  </si>
  <si>
    <t>422914520</t>
  </si>
  <si>
    <t>poklop litinový typ 522-hydrantový   DN 80</t>
  </si>
  <si>
    <t>R006</t>
  </si>
  <si>
    <t>deska podkladová pro poklop hydrantový</t>
  </si>
  <si>
    <t>899722112</t>
  </si>
  <si>
    <t>Krytí potrubí z plastů výstražnou fólií z PVC 25 cm</t>
  </si>
  <si>
    <t>899721111</t>
  </si>
  <si>
    <t>Signalizační vodič DN do 150 mm na potrubí PVC - D+M</t>
  </si>
  <si>
    <t>Ostatní konstrukce a práce, bourání</t>
  </si>
  <si>
    <t>119001401</t>
  </si>
  <si>
    <t>Dočasné zajištění potrubí ocelového nebo litinového DN do 200</t>
  </si>
  <si>
    <t>119001421</t>
  </si>
  <si>
    <t>Dočasné zajištění kabelů a kabelových tratí ze 3 volně ložených kabelů</t>
  </si>
  <si>
    <t>119001422</t>
  </si>
  <si>
    <t>Dočasné zajištění kabelů a kabelových tratí z 6 volně ložených kabelů</t>
  </si>
  <si>
    <t>119002121</t>
  </si>
  <si>
    <t>Pomocné konstrukce při zabezpečení výkopů přechodovou lávkou l do 2 m včetně zábradlí zřízení</t>
  </si>
  <si>
    <t>119002122</t>
  </si>
  <si>
    <t>Pomocné konstrukce při zabezpečení výkopů přechodovou lávkou l do 2 m včetně zábradlí odstranění</t>
  </si>
  <si>
    <t>938908411</t>
  </si>
  <si>
    <t>Čištění vozovek splachováním vodou</t>
  </si>
  <si>
    <t>938909331</t>
  </si>
  <si>
    <t>Čištění vozovek metením ručně podkladu nebo krytu betonového nebo živičného</t>
  </si>
  <si>
    <t>R003</t>
  </si>
  <si>
    <t>Rozebrání chodníkových ploch z dlaždic, obrub a povrchů při realizaci přípojek</t>
  </si>
  <si>
    <t>kpl</t>
  </si>
  <si>
    <t>Zavírání vody,vypouštění a napouštění,odkalení</t>
  </si>
  <si>
    <t>997</t>
  </si>
  <si>
    <t>Přesun sutě</t>
  </si>
  <si>
    <t>997221611</t>
  </si>
  <si>
    <t>Nakládání suti na dopravní prostředky pro vodorovnou dopravu</t>
  </si>
  <si>
    <t>997221551</t>
  </si>
  <si>
    <t>Vodorovná doprava suti ze sypkých materiálů do 1 km</t>
  </si>
  <si>
    <t>997221559</t>
  </si>
  <si>
    <t>Příplatek ZKD 1 km u vodorovné dopravy suti ze sypkých materiálů</t>
  </si>
  <si>
    <t>997221612</t>
  </si>
  <si>
    <t>Nakládání vybouraných hmot na dopravní prostředky pro vodorovnou dopravu</t>
  </si>
  <si>
    <t>997221571</t>
  </si>
  <si>
    <t>Vodorovná doprava vybouraných hmot do 1 km</t>
  </si>
  <si>
    <t>997221579</t>
  </si>
  <si>
    <t>Příplatek ZKD 1 km u vodorovné dopravy vybouraných hmot</t>
  </si>
  <si>
    <t>997221815</t>
  </si>
  <si>
    <t>Poplatek za uložení betonového odpadu na skládce (skládkovné)</t>
  </si>
  <si>
    <t>997221845</t>
  </si>
  <si>
    <t>Poplatek za uložení odpadu z asfaltových povrchů na skládce (skládkovné)</t>
  </si>
  <si>
    <t>997221855</t>
  </si>
  <si>
    <t>Poplatek za uložení odpadu z kameniva na skládce (skládkovné)</t>
  </si>
  <si>
    <t>998</t>
  </si>
  <si>
    <t>Přesun hmot</t>
  </si>
  <si>
    <t>998276101</t>
  </si>
  <si>
    <t>Přesun hmot pro trubní vedení z trub z plastických hmot otevřený výkop</t>
  </si>
  <si>
    <t>ks</t>
  </si>
  <si>
    <t>Montáž kanalizačního potrubí hladkého plnostěnného SN 12 z polypropylenu DN 150</t>
  </si>
  <si>
    <t>trubka kanalizační PP MASTER SN 12, dl.6m, DN 150</t>
  </si>
  <si>
    <t>Montáž kolen na potrubí z PP trub hladkých plnostěnných DN 150</t>
  </si>
  <si>
    <t>Osazení železobetonových dílců pro šachty skruží rovných</t>
  </si>
  <si>
    <t>894412411</t>
  </si>
  <si>
    <t>Osazení železobetonových dílců pro šachty skruží přechodových</t>
  </si>
  <si>
    <t>452112121</t>
  </si>
  <si>
    <t>Osazení betonových prstenců nebo rámů v do 200 mm</t>
  </si>
  <si>
    <t>592243480</t>
  </si>
  <si>
    <t>těsnění elastomerové pro spojení šachetních dílů EMT DN 1000</t>
  </si>
  <si>
    <t>899103111</t>
  </si>
  <si>
    <t>Osazení poklopů litinových nebo ocelových včetně rámů hmotnosti nad 100 do 150 kg</t>
  </si>
  <si>
    <t>552410180</t>
  </si>
  <si>
    <t>poklop šachtový třída D 400, kruhový rám 900, vstup 600 mm, REXESS s ventilací</t>
  </si>
  <si>
    <t>899623161</t>
  </si>
  <si>
    <t>Obetonování potrubí nebo zdiva stok betonem prostým tř. C 20/25 v otevřeném výkopu</t>
  </si>
  <si>
    <t>359901111</t>
  </si>
  <si>
    <t>Vyčištění stok</t>
  </si>
  <si>
    <t>Monitoring stoky jakékoli výšky na nové kanalizaci</t>
  </si>
  <si>
    <t>J.cena</t>
  </si>
  <si>
    <t xml:space="preserve">Cena celkem </t>
  </si>
  <si>
    <t>Zemní práce - celkem</t>
  </si>
  <si>
    <t>Vodorovné konstrukce - celkem</t>
  </si>
  <si>
    <t>Komunikace pozemní - celkem</t>
  </si>
  <si>
    <t>Trubní vedení - celkem</t>
  </si>
  <si>
    <t>Přesun hmot - celkem</t>
  </si>
  <si>
    <t>ROZPOČET</t>
  </si>
  <si>
    <t>INVESTOR: MĚSTO ČESKÝ BROD, NÁMĚSTÍ HUSOVO 70, 282 01 ČESKÝ BROD, IČO 00235334</t>
  </si>
  <si>
    <t>lože</t>
  </si>
  <si>
    <t>obsyp</t>
  </si>
  <si>
    <t>Univerzální podkladová deska</t>
  </si>
  <si>
    <t>Vodovodní poklop šoupatový D 400</t>
  </si>
  <si>
    <t>Rohový ventil pro domovní přípojky HAWLE ISO 2" - 6/4"</t>
  </si>
  <si>
    <t>Připojovací tvarovka HAWLE ISO 6/4" - 32</t>
  </si>
  <si>
    <t>Teleskopická z.z.s. na přípojky(L 1,3-1,8 m)</t>
  </si>
  <si>
    <t>Přípojkový litinový poklop D 400</t>
  </si>
  <si>
    <t>Spojka Hawle ISO 32-32</t>
  </si>
  <si>
    <t>Kanalizační tvarovka - spojka PP Master SN 12 DN 400</t>
  </si>
  <si>
    <t>Skruž betonová šachetní TBS-Q 1000/500/120 SP</t>
  </si>
  <si>
    <t>Konus betonový TBR-Q 600/1000 x 625/120 SPK</t>
  </si>
  <si>
    <t>Prstenec betonový vyrovnávací TBW-Q 40/625/120</t>
  </si>
  <si>
    <t>Poklop šachtový třída D 400, kruhový rám 900, vstup 600 mm, bez ventilace</t>
  </si>
  <si>
    <t>Uvedení chodníkových ploch, obrub a povrchů při realizaci přípojek do původního stavu</t>
  </si>
  <si>
    <t>J. hmotnost_x000D_
[t]</t>
  </si>
  <si>
    <t>Hmotnost_x000D_
celkem [t]</t>
  </si>
  <si>
    <t>J. suť [t]</t>
  </si>
  <si>
    <t>Suť Celkem [t]</t>
  </si>
  <si>
    <t>odstranění betonů</t>
  </si>
  <si>
    <t>odstranění kameniva</t>
  </si>
  <si>
    <t>Kanalizační tvarovka - spojka REXCOM DN 150</t>
  </si>
  <si>
    <t>CELKEM bez potrubí obsyp</t>
  </si>
  <si>
    <t>400210000016T</t>
  </si>
  <si>
    <t>315100100016T</t>
  </si>
  <si>
    <t>960113018004T</t>
  </si>
  <si>
    <t>1017T</t>
  </si>
  <si>
    <t>175000000001T</t>
  </si>
  <si>
    <t>3481000000001T</t>
  </si>
  <si>
    <t>28614534R</t>
  </si>
  <si>
    <t>trubka kanalizační PP MASTER SN 12, dl.6m, DN 400</t>
  </si>
  <si>
    <t xml:space="preserve">Montáž kanalizačního potrubí hladkého plnostěnného SN 12 z polypropylenu DN 400 </t>
  </si>
  <si>
    <t>2865447054R</t>
  </si>
  <si>
    <t xml:space="preserve">Montáž kolen na potrubí z PP trub hladkých plnostěnných DN 400 </t>
  </si>
  <si>
    <t>59224152R</t>
  </si>
  <si>
    <t>894431112R00</t>
  </si>
  <si>
    <t>592243533R</t>
  </si>
  <si>
    <t>59224174.AR</t>
  </si>
  <si>
    <t>55340322R</t>
  </si>
  <si>
    <t>630003203216T</t>
  </si>
  <si>
    <t>622103206416T</t>
  </si>
  <si>
    <t>919735112</t>
  </si>
  <si>
    <t>STAVBA: ČESKÝ BROD, VÝMĚNA VODOVODU A KANALIZACE V ULICI TUCHORAZSKÁ</t>
  </si>
  <si>
    <t>"komunikace"</t>
  </si>
  <si>
    <t>Mezisoučet vodovod</t>
  </si>
  <si>
    <t xml:space="preserve">Mezisoučet kanalizace: </t>
  </si>
  <si>
    <t>"šíře výkopu pro V+K uvažováno 1,8m - rozděleno na V š.0,7m, K š.1,1m"</t>
  </si>
  <si>
    <t xml:space="preserve">rýhy: </t>
  </si>
  <si>
    <t xml:space="preserve">šachty: </t>
  </si>
  <si>
    <t xml:space="preserve">Součet: </t>
  </si>
  <si>
    <t xml:space="preserve">"pro zásyp" </t>
  </si>
  <si>
    <t>Výměna vodovodu a kanalizace celkem bez DPH</t>
  </si>
  <si>
    <t>"kanalizační řad - šachta Roháčova hl. 1,75m, šachta propojovací 2,4m" , pr. pro přípojky 2,075, zelený pás 65,0m, aslfat: 15,0m</t>
  </si>
  <si>
    <t>výkop rýh</t>
  </si>
  <si>
    <t>výkop jam</t>
  </si>
  <si>
    <t>"kanalizační řad v asfaltu odhad Jugoslávská po změně trasy "1,1*10,0</t>
  </si>
  <si>
    <t>"kanalizační řad v asfaltu odhad Roháčova po změně trasy" 1,1*(1,5+3,0)</t>
  </si>
  <si>
    <t>"vodovodní řad v asfaltu odhad Jungmannova po změně trasy" 0,7*5,0</t>
  </si>
  <si>
    <t>"v zeleném pásu" (1,75+2,4)/2,0*1,1*(60,0-1,5)</t>
  </si>
  <si>
    <t>"v zeleném pásu k propojovací šachtě" 2,4*1,1*1,5</t>
  </si>
  <si>
    <t>"vodovodní řad v asfaltu odhad Roháčova po změně trasy" 0,7*5,0</t>
  </si>
  <si>
    <t>"vodovodní řad brána hl.1,7m a š.0,7m", v zeleném pásu odhad po změně trasy  75,0m v asfaltu: 5,0+5,0</t>
  </si>
  <si>
    <t>"v zeleném pásu" 1,7*0,7*75,0</t>
  </si>
  <si>
    <t>"vodovodní přípojky v zeleném pásu 4,3, 4,7, 4,4, 3,6m kraj vozovky odpočet 0,5m na každou přípojku, v dlažbě šíře 2,0m, hl. 1,7-1,5m"</t>
  </si>
  <si>
    <t>"v asfaltu Roháčova ulice" 2,0*1,75*(1,5+3,0)</t>
  </si>
  <si>
    <t>"v zeleném pásu" 2,0*(1,75+2,4)/2,0*(60,0-1,5)</t>
  </si>
  <si>
    <t>"v zeleném pásu k propojovací šachtě" 2,0*2,4*1,5</t>
  </si>
  <si>
    <t>"v zeleném pásu" 2,0*1,7*75,0</t>
  </si>
  <si>
    <t>"v asfaltu" 2,0*1,7*(5,0+5,0)</t>
  </si>
  <si>
    <t>Mezisoučet šachty</t>
  </si>
  <si>
    <t>"v asfaltu Roháčova ulice" (0,4+0,3)*1,1*(1,5+3,0)</t>
  </si>
  <si>
    <t>"v zeleném pásu" (0,4+0,3)*1,1*(60,0-1,5)</t>
  </si>
  <si>
    <t>"v zeleném pásu k propojovací šachtě" (0,4+0,3)*1,1*1,5</t>
  </si>
  <si>
    <t>ODPOČET POTRUBÍ KANALIZAČNÍ ŘADY -3,14*0,4*0,4/4,0*(1,5+3,0+60,0-1,5+1,5+9,0+10,0)</t>
  </si>
  <si>
    <t>Mezisoučet - odpočet potrubí</t>
  </si>
  <si>
    <t>uvažováno tl.100+100mm</t>
  </si>
  <si>
    <t>"v asfaltu Roháčova ulice" (0,1+0,1)*1,1*(1,5+3,0)</t>
  </si>
  <si>
    <t>"v zeleném pásu" (0,1+0,1)*1,1*(60,0-1,5)</t>
  </si>
  <si>
    <t>"v zeleném pásu k propojovací šachtě" (0,1+0,1)*1,1*1,5</t>
  </si>
  <si>
    <t>"v zeleném pásu" (0,1+0,1)*0,7*75,0</t>
  </si>
  <si>
    <t>"v asfaltu" (0,1+0,1)*0,7*(5,0+5,0)</t>
  </si>
  <si>
    <t>Součet lože</t>
  </si>
  <si>
    <t>potrubí dvouvrstvé PE100 RC Wavin SafeTech, SDR11, 160x14,6. L=100m</t>
  </si>
  <si>
    <t>Montáž potrubí z PE100 SDR 11 otevřený výkop svařovaných elektrotvarovkou D 160 x 14,6 mm</t>
  </si>
  <si>
    <t>871311121</t>
  </si>
  <si>
    <t>ztratné 2%</t>
  </si>
  <si>
    <t>877312121</t>
  </si>
  <si>
    <t>857314121</t>
  </si>
  <si>
    <t>Montáž litinových tvarovek odbočných přírubových otevřený výkop DN 150</t>
  </si>
  <si>
    <t>891311111</t>
  </si>
  <si>
    <t>Montáž vodovodních šoupátek otevřený výkop DN 150</t>
  </si>
  <si>
    <t>891181111</t>
  </si>
  <si>
    <t>Tlaková zkouška vodou potrubí do DN 200</t>
  </si>
  <si>
    <t>892351111</t>
  </si>
  <si>
    <t>Proplach a dezinfekce vodovodního potrubí DN do 200</t>
  </si>
  <si>
    <t>891319111</t>
  </si>
  <si>
    <t>"v asfaltu Roháčova ulice" (1,5+3,0)</t>
  </si>
  <si>
    <t xml:space="preserve">Součet </t>
  </si>
  <si>
    <t>"v zeleném pásu" (60,0-1,5)</t>
  </si>
  <si>
    <t>"v zeleném pásu k propojovací šachtě" 1,5</t>
  </si>
  <si>
    <t>"v zeleném pásu zbylá část odhad křižovatka Jungmannova" 9,0</t>
  </si>
  <si>
    <t>"v asfaltu od propojovací šachty zbylá část odhad po změně trasy Jungmannova'" 10,0</t>
  </si>
  <si>
    <t>přepočet na kusy</t>
  </si>
  <si>
    <t>871393121</t>
  </si>
  <si>
    <t>871313121</t>
  </si>
  <si>
    <t>877393121</t>
  </si>
  <si>
    <t>Montáž odboček na potrubí z PP trub hladkých plnostěnných DN 400</t>
  </si>
  <si>
    <t xml:space="preserve">kanalizační odbočka Connex s kloubem DN 400/150 </t>
  </si>
  <si>
    <t>877393123</t>
  </si>
  <si>
    <t>877313123</t>
  </si>
  <si>
    <t>894111137</t>
  </si>
  <si>
    <t>Šachty kanalizační zděné na potrubí z cihel kanalizačních pálených lícových DN 400</t>
  </si>
  <si>
    <t>894411231</t>
  </si>
  <si>
    <t>Prstenec betonový vyrovnávací TBW-Q 100/625/120</t>
  </si>
  <si>
    <t>59224177R</t>
  </si>
  <si>
    <t>892593111</t>
  </si>
  <si>
    <t>Zkouška těsnosti kanalizace DN do 400mm, vodou</t>
  </si>
  <si>
    <t>892591111</t>
  </si>
  <si>
    <t>892855115</t>
  </si>
  <si>
    <t>řady</t>
  </si>
  <si>
    <t>šachty</t>
  </si>
  <si>
    <t>"šachta Roháčova ulice" 2,0*(2,5+4,5)</t>
  </si>
  <si>
    <t>"šachta Roháčova ulice" 2,5*4,5</t>
  </si>
  <si>
    <t>Montáž elektrospojek na potrubí z PE trub d 160</t>
  </si>
  <si>
    <t>elektrospojka SDR 11, PE 100, PN 16 d 160</t>
  </si>
  <si>
    <t>28653811</t>
  </si>
  <si>
    <t>28653328.AR</t>
  </si>
  <si>
    <t>Montáž navrtávacích pasů na potrubí z jakýchkoli trub DN 150</t>
  </si>
  <si>
    <t>Navrtávací pas uzávěrový HAWLE HAKU D 160/2"</t>
  </si>
  <si>
    <t>531016005216</t>
  </si>
  <si>
    <t>950212515003T</t>
  </si>
  <si>
    <t>odstranění asfaltů</t>
  </si>
  <si>
    <t>"část u propojovací šachty" 2,0x1,0</t>
  </si>
  <si>
    <t>Mezisoučet pro kanalizaci</t>
  </si>
  <si>
    <t>"vodovodní řad navíc úprava do Roháčovy ulice - litina" 0,7*2,0</t>
  </si>
  <si>
    <t>"vodovodní řad navíc úprava v Roháčově ulici - plast napojení" 0,7*5,0</t>
  </si>
  <si>
    <t>"uliční vpustě - 2 ks" 2,0*1,0*1,0</t>
  </si>
  <si>
    <t>"vodovodní řad šoupata navíc v křižovatce s Roháčovou ulicí" 1,0*1,0</t>
  </si>
  <si>
    <t>"přípojky vjezd RD" 1,0*(2,0*3,6-1,5-0,5)</t>
  </si>
  <si>
    <t>"kanalizační přípojky v zeleném pásu 4,3, 4,7, 4,4, 3,6m a odpočet 1,5m cca odhad od kraje silnice budoucí trasa kanalizace", v dlažbě šíře chodníku 2,0m, hl. od pr.2,1 po 1,3m, š.1,0m"</t>
  </si>
  <si>
    <t>"uliční vpustě - 2 ks" 2,0*2,0*1,0*1,0</t>
  </si>
  <si>
    <t>"vodovodní řad šoupata navíc v křižovatce s Roháčovou ulicí" 2,0*1,0*1,0</t>
  </si>
  <si>
    <t>"v asflatu" 2,0*(1,3+2,1)/2,0*(3,6-1,5)</t>
  </si>
  <si>
    <t>"vodovodní řad navíc úprava do Roháčovy ulice - litina" 2,0*1,7*2,0</t>
  </si>
  <si>
    <t>"vodovodní řad navíc úprava v Roháčově ulici - plast napojení" 2,0*1,7*5,0</t>
  </si>
  <si>
    <t>"v asflatu" 2,0*(1,5+1,7)/2,0*1,0*3,6</t>
  </si>
  <si>
    <t>"šachta Roháčova ulice" 2,0*2,4*(2,5+4,5)</t>
  </si>
  <si>
    <t>"část u propojovací šachty" 4,0*1,75*1,0</t>
  </si>
  <si>
    <t>"uliční vpustě - 2 ks" 2,0*4,0*2,0*1,0</t>
  </si>
  <si>
    <t>"vodovodní řad šoupata navíc v křižovatce s Roháčovou ulicí" 4,0*2,0*1,0</t>
  </si>
  <si>
    <t>"v asfaltu od propojovací šachty zbylá část odhad po změně trasy Jungmannova - DN250" (0,25+0,3)*1,1*10,0</t>
  </si>
  <si>
    <t>"v zeleném pásu zbylá část odhad křižovatka Jungmannova DN 250" (0,25+0,3)*1,1*9,0</t>
  </si>
  <si>
    <t>"v asfaltu" (0,15+0,3)*1,0*(3,6-1,5)</t>
  </si>
  <si>
    <t>"v asfaltu od propojovací šachty zbylá část odhad po změně trasy Jungmannova DN 250'" 2,0*1,75*10,0</t>
  </si>
  <si>
    <t>"v zeleném pásu zbylá část odhad křižovatka Jungmannova DN250" 2,0*1,75*9,0</t>
  </si>
  <si>
    <t>"v zeleném pásu zbylá část odhad křižovatka Jungmannova DN 250" 1,75*1,1*9,0</t>
  </si>
  <si>
    <t>"v zeleném pásu" (0,2+0,3)*0,7*75,0</t>
  </si>
  <si>
    <t>"v asfaltu" (0,2+0,3)*0,7*(5,0+5,0)</t>
  </si>
  <si>
    <t>"vodovodní řad navíc úprava do Roháčovy ulice - litina" (0,2+0,3)*0,7*2,0</t>
  </si>
  <si>
    <t>"vodovodní řad navíc úprava v Roháčově ulici - plast napojení" (0,2+0,3)*0,7*5,0</t>
  </si>
  <si>
    <t>"v asflatu" (0,05+0,3)/2,0*1,0*(3,6-0,5)</t>
  </si>
  <si>
    <t>"odpočet uliční vpustě - odhadem 1/2množství</t>
  </si>
  <si>
    <t>"odpočet vlastních vpustí odhadem 1/2 množství"</t>
  </si>
  <si>
    <t>ODPOČET POTRUBÍ LITINA A PLAST NAPOJENÍ ROHÁČOVÁ -3,14*0,1*0,1/4,0*(2,0+5,0)</t>
  </si>
  <si>
    <t>"v zeleném pásu zbylá část odhad křižovatka Jungmannova DN 250" (0,1+0,1)*1,1*9,0</t>
  </si>
  <si>
    <t>"v asfaltu od propojovací šachty zbylá část odhad po změně trasy Jungmannova - DN250" (0,1+0,1)*1,1*10,0</t>
  </si>
  <si>
    <t>"v asfaltu" (0,1+0,1)*1,0*(3,6-1,5)</t>
  </si>
  <si>
    <t>"vodovodní řad navíc úprava do Roháčovy ulice - litina" (0,1+0,1)*0,7*2,0</t>
  </si>
  <si>
    <t>"vodovodní řad navíc úprava v Roháčově ulici - plast napojení" (0,1+0,1)*0,7*5,0</t>
  </si>
  <si>
    <t>"v asflatu" (0,1+0,1)/2,0*1,0*(3,6-0,5)</t>
  </si>
  <si>
    <t>"šachta Roháčova ulice" (0,1+0,1)*2,5*4,5</t>
  </si>
  <si>
    <t>"část u propojovací šachty" (0,1+0,1)x2,0x1,0</t>
  </si>
  <si>
    <t>"uliční vpustě - 2 ks" 2,0*(0,1+0,1)*1,0*1,0</t>
  </si>
  <si>
    <t>"vodovodní řad šoupata navíc v křižovatce s Roháčovou ulicí" 2,0*(0,1+0,1)*1,0*1,0</t>
  </si>
  <si>
    <t>"uliční vpustě - 2 ks" 2,0*(2,0+2,0*0,1)*1,0*1,0</t>
  </si>
  <si>
    <t>"vodovodní řad šoupata navíc v křižovatce s Roháčovou ulicí"(2,0+2,0*0,1)*1,0*1,0</t>
  </si>
  <si>
    <t>tl.2,0*0,1 pro lože pod šachty</t>
  </si>
  <si>
    <t xml:space="preserve">"uvažováno celá vzdálenost do 15km" </t>
  </si>
  <si>
    <t>871251211</t>
  </si>
  <si>
    <t>Montáž potrubí z PE100 SDR 11 otevřený výkop svařovaných elektrotvarovkou D 110 x 10,0 mm</t>
  </si>
  <si>
    <t>potrubí dvouvrstvé PE100 RC Wavin SafeTech, SDR11, 110x10. L=100m</t>
  </si>
  <si>
    <t>877261101</t>
  </si>
  <si>
    <t>Montáž elektrospojek na potrubí z PE trub d 110</t>
  </si>
  <si>
    <t>Montáž litinových tvarovek jednoosých přírubových otevřený výkop DN 100</t>
  </si>
  <si>
    <t>891247111</t>
  </si>
  <si>
    <t>Montáž hydrantů podzemních DN 80</t>
  </si>
  <si>
    <t>ztratné 1%</t>
  </si>
  <si>
    <t>každých 6m potrubí spojka: 85/6 = 14,167, zaokrouhleno 15 kusů</t>
  </si>
  <si>
    <t>Montáž litinových tvarovek jednoosých přírubových otevřený výkop DN 160</t>
  </si>
  <si>
    <t>"spojka s přírubou u šoupětě Roháčova ul' 1 ks</t>
  </si>
  <si>
    <t>"u šoupěte Roháčova ul." 1 ks</t>
  </si>
  <si>
    <t>Montáž vodovodních šoupátek otevřený výkop DN 100</t>
  </si>
  <si>
    <t>Šoupě Hawle E2 DN 100</t>
  </si>
  <si>
    <t>Teleskopická z.z.s. šoupatová Hawle E2 DN 150(L 1,3-1,8 m)</t>
  </si>
  <si>
    <t>Teleskopická z.z.s. šoupatová Hawle E2 DN 100(L 1,3-1,8 m)</t>
  </si>
  <si>
    <t>Šoupě Hawle E2 DN 80</t>
  </si>
  <si>
    <t>"pro hydrant" 1 kus</t>
  </si>
  <si>
    <t xml:space="preserve">Montáž kanalizačního potrubí hladkého plnostěnného SN 12 z polypropylenu DN 250 </t>
  </si>
  <si>
    <t>trubka kanalizační PP MASTER SN 12, dl.6m, DN 250</t>
  </si>
  <si>
    <t>"přepočet na kusy" 19/6</t>
  </si>
  <si>
    <t>"v asflatu" 3,6-1,5</t>
  </si>
  <si>
    <t>857262121</t>
  </si>
  <si>
    <t>"v asfaltu" 3,6-0,5</t>
  </si>
  <si>
    <t>"pro uliční vpusť Roháčova ul" 2,0</t>
  </si>
  <si>
    <t>Plastové dno šachty vícevtokové DN 600/250 PP, 1 vtok DN250 , 2xvýtok DN250</t>
  </si>
  <si>
    <t xml:space="preserve">"redukce za koncovou plastovou šachtou v Tuchorazské " 1,0 </t>
  </si>
  <si>
    <t>"nově provedená náhrada propojovací šachty k cihelné stoce" 1,0</t>
  </si>
  <si>
    <t>"plastová koncová šachta v Tuchorazské ulici u Jungmannovy ulice na konci DN250" 1,0</t>
  </si>
  <si>
    <t xml:space="preserve">"nová šachta v Roháčově ulici" 1,0 </t>
  </si>
  <si>
    <t>Šachty kanalizační plastové na potrubí DN 250 nebo 300</t>
  </si>
  <si>
    <t>895941311</t>
  </si>
  <si>
    <t>Zřízení vpusti kanalizační uliční z betonových dílců typ UVB-50</t>
  </si>
  <si>
    <t>592238220</t>
  </si>
  <si>
    <t>vpusť betonová uliční TBV-Q 500/626 VD /dno/ 62,6 x 49,5 x 5 cm</t>
  </si>
  <si>
    <t>592238250</t>
  </si>
  <si>
    <t>vpusť betonová uliční TBV-Q 500/290 /skruž/ 29x50x5 cm</t>
  </si>
  <si>
    <t>592238580</t>
  </si>
  <si>
    <t>skruž betonová pro uliční vpusť horní TBV-Q 450/555/5d, 45x55x5 cm</t>
  </si>
  <si>
    <t>592238640</t>
  </si>
  <si>
    <t>prstenec betonový pro uliční vpusť vyrovnávací TBV-Q 390/60/10a, 39x6x5 cm</t>
  </si>
  <si>
    <t>592238760</t>
  </si>
  <si>
    <t>rám zabetonovaný DIN 19583-9 500/500 mm</t>
  </si>
  <si>
    <t>592238780</t>
  </si>
  <si>
    <t>mříž M1 D400 DIN 19583-13, 500/500 mm</t>
  </si>
  <si>
    <t>"pro přípojky" 5 kusy</t>
  </si>
  <si>
    <t>" pro přípojky" 5,0 kusy</t>
  </si>
  <si>
    <t>" pro přípojky a vpusť odhad" 6*1</t>
  </si>
  <si>
    <t>"pro přípojky" 5 ks</t>
  </si>
  <si>
    <t>"pro uliční vpusť" 2 ks</t>
  </si>
  <si>
    <t>"v dlažbě" 5,0*2,0</t>
  </si>
  <si>
    <t>"v zeleném pásu" (4,3+4,7+4,4+5,0-4,0*1,5)</t>
  </si>
  <si>
    <t>"pro přípojky" 5 kusů</t>
  </si>
  <si>
    <t>"přípojka pro uliční vpusť u propojovací šachty" (2,1-0,5)*1,0*2,0</t>
  </si>
  <si>
    <t>"přípojka pro uliční vpusť u propojovací šachty" 2,0*2,1*1,0</t>
  </si>
  <si>
    <t>"pro přípojku uliční vpusť u propojovací šachty" (0,15+0,3)*1,0*2,0</t>
  </si>
  <si>
    <t>"v dlažbě" 2,0*5,0*(1,3+2,1)/2,0*2,0</t>
  </si>
  <si>
    <t>"v zeleném pásu" 2,0*(1,3+2,1)/2,0*(4,3+4,7+4,4+5,0-4,0*1,5)</t>
  </si>
  <si>
    <t>"v zeleném pásu" (1,3+2,1)/2,0*1,0*(4,3+4,7+4,4+5,0-4,0*1,5)</t>
  </si>
  <si>
    <t>"v dlažbě" 5,0*(1,3-0,3+2,1-0,3)/2,0*1,0*2,0</t>
  </si>
  <si>
    <t>"chodníky-kanalizační přípojky" 5,0*1,0*2,0</t>
  </si>
  <si>
    <t>"chodníky - vodovodní přípojky" 5,0*1,0*2,0</t>
  </si>
  <si>
    <t>"konečná plastová šachta v Tuchorazské" 1,5*1,5</t>
  </si>
  <si>
    <t>"konečná šachta v Tuchorazské u Jungmannovy ul." 4,0*2,0*1,5</t>
  </si>
  <si>
    <t>"v zeleném pásu" (0,15+0,3)*1,0*(4,3+4,7+4,4+5,0-4,0*1,5)</t>
  </si>
  <si>
    <t>"v dlažbě" 5,0*(0,15+0,3)*1,0*2,0</t>
  </si>
  <si>
    <t>ODPOČET POTRUBÍ KANALIZAČNÍ PŘÍPOJKY -3,14*0,15*0,15/4,0*(4,3+4,7+4,4+3,6+5,0-5,0*1,5)</t>
  </si>
  <si>
    <t>ODPOČET POTRUBÍ VODOVODNÍ ŘADY -3,14*0,160*0,160/4,0*(75,0+2,0*5,0)</t>
  </si>
  <si>
    <t>ODPOČET POTRUBÍ KANALIZAČNÍ PŘÍPOJKY - PRO ULIČNÍ VPUSŤ -3,14*0,15*0,15/4,0*2,0</t>
  </si>
  <si>
    <t>"v zeleném pásu" (0,1+0,1)*1,0*(4,3+4,7+4,4+5,0-4,0*1,5)</t>
  </si>
  <si>
    <t>"v dlažbě" 5,0*(0,1+0,1)*1,0*2,0</t>
  </si>
  <si>
    <t>"pro přípojku uliční vpusť u propojovací šachty" (0,1+0,1)*1,0*2,0</t>
  </si>
  <si>
    <t>"konečná plastová šachta v Tuchorazské u ul.Jungmannovy ulice" (0,1+0,1)*1,5*1,5</t>
  </si>
  <si>
    <t>"v asfaltu Roháčova ulice" (1,75-0,55)*1,1*(1,5+3,0)</t>
  </si>
  <si>
    <t>"v asfaltu od propojovací šachty zbylá část odhad po změně trasy Jungmannova DN250'" (1,75-0,55)*1,1*10,0</t>
  </si>
  <si>
    <t>"v asfaltu - odhad tl.vjezd" (1,3-0,3+2,1-0,3)/2,0*1,0*(3,6-1,5)</t>
  </si>
  <si>
    <t>"v asfaltu" (1,7-0,55)*0,7*(5,0+5,0)</t>
  </si>
  <si>
    <t>"vodovodní řad navíc úprava do Roháčovy ulice - litina" (1,7-0,55)*0,7*2,0</t>
  </si>
  <si>
    <t>"vodovodní řad navíc úprava v Roháčově ulici - plast napojení" (1,7-0,55)*0,7*5,0</t>
  </si>
  <si>
    <t>"v asflatu - odhad tl.vjezd" (1,5-0,3+1,7-0,3)/2,0*1,0*(3,6-0,5)</t>
  </si>
  <si>
    <t>"šachta Roháčova ulice" (2,4-0,55+2,0*0,1)*2,5*4,5</t>
  </si>
  <si>
    <t>"odpočet vlastní šachty - odhad rozměrů" -(2,4-0,55+2,0*0,1)*2,0*2,0</t>
  </si>
  <si>
    <t>"část u propojovací šachty" (1,75-0,55+2,0*0,1)x2,0x1,0</t>
  </si>
  <si>
    <t>"odpočet vlastní šachty" -(1,75-0,55+2,0*0,1)*3,14*1,0*1,0/4,0</t>
  </si>
  <si>
    <t>"konečná plastová šachta v Tuchorazské u ul.Jungmannovy ulice" (1,75-0,55+2,0*0,1)*1,5*1,5</t>
  </si>
  <si>
    <t>"šachta Roháčova ulice" (2,4-0,55)*2,5*4,5</t>
  </si>
  <si>
    <t>"odpočet vlastní šachty" -(2,4-0,55)*3,14*1,0*1,0/4,0</t>
  </si>
  <si>
    <t>"část u propojovací šachty" (1,75-0,55)x2,0x1,0</t>
  </si>
  <si>
    <t>"odpočet vlastní šachty" -(1,75-0,55)*3,14*1,0*1,0/4,0</t>
  </si>
  <si>
    <t>"konečná plastová šachta v Tuchorazské u ul.Jungmannovy ulice" (1,75-0,55)*1,5*1,5</t>
  </si>
  <si>
    <t>"odpočet plastové šachty" -3,14*0,6*0,6/4,0*(1,75-0,55)</t>
  </si>
  <si>
    <t>Kamenivo zpevněné cementem C16/20 tl.200mm</t>
  </si>
  <si>
    <t xml:space="preserve">"komunikace Tuchorazská - bez přípojek" </t>
  </si>
  <si>
    <t>Odstranění podkladu pl přes 50 do 200 m2 z kameniva drceného tl 200 mm</t>
  </si>
  <si>
    <t>"komunikace bez přípojek"</t>
  </si>
  <si>
    <t>Řezání stávajícího živičného krytu hl do 150 mm</t>
  </si>
  <si>
    <t>"kanalizační řad v asfaltu odhad Jugoslávská po změně trasy "2,0*10,0</t>
  </si>
  <si>
    <t>"kanalizační řad v asfaltu odhad Roháčova po změně trasy" 2,0*(1,5+3,0)</t>
  </si>
  <si>
    <t>"vodovodní řad v asfaltu odhad Jungmannova po změně trasy" 2,0*5,0</t>
  </si>
  <si>
    <t>"vodovodní řad v asfaltu odhad Roháčova po změně trasy" 2,0*5,0</t>
  </si>
  <si>
    <t>"vodovodní řad navíc úprava do Roháčovy ulice - litina" 2,02,0</t>
  </si>
  <si>
    <t>"vodovodní řad navíc úprava v Roháčově ulici - plast napojení" 2,0*5,0</t>
  </si>
  <si>
    <t>"část u propojovací šachty" 2,0*(2,0+1,0)</t>
  </si>
  <si>
    <t>"konečná plastová šachta v Tuchorazské" 4,0*1,5</t>
  </si>
  <si>
    <t>"přípojky vjezd RD" 2,0*(2,0*3,6-1,5-0,5)</t>
  </si>
  <si>
    <t>"vodovodní řad šoupata navíc v křižovatce s Roháčovou ulicí" 4,0*1,0</t>
  </si>
  <si>
    <t>"uliční vpustě - 2 ks" 2,0*4,0*1,0</t>
  </si>
  <si>
    <t>22,248+29,722</t>
  </si>
  <si>
    <t>(22,248+29,722)*14</t>
  </si>
  <si>
    <t>17,012*14,0</t>
  </si>
  <si>
    <t>T kus Hawle DN 150/80</t>
  </si>
  <si>
    <t>Šoupě Hawle E2 DN 150</t>
  </si>
  <si>
    <t>koleno kanalizační PP Master  SN12 15 ° DN 150</t>
  </si>
  <si>
    <t>koleno kanalizační PP Master SN12 30 ° DN 150</t>
  </si>
  <si>
    <t>koleno kanalizační PP Master SN12 45 ° DN 150</t>
  </si>
  <si>
    <t>spojka přesuvná PP Master SN 12 DN 150</t>
  </si>
  <si>
    <t>113107172</t>
  </si>
  <si>
    <t>Odstranění podkladu pl přes 50 m2 do 200 m2 z betonu prostého tl do 300mm</t>
  </si>
  <si>
    <t>113107162</t>
  </si>
  <si>
    <t>113107182</t>
  </si>
  <si>
    <t>Odstranění asfaltové vrstvy pl.nad 50m2, tl.do 10cm</t>
  </si>
  <si>
    <t>113107183</t>
  </si>
  <si>
    <t>Odstranění asfaltové vrstvy pl.nad 50m2, tl.do 15cm</t>
  </si>
  <si>
    <t>567132115</t>
  </si>
  <si>
    <t>Asfaltový beton vrstva podkladní ACP 16 (obalované kamenivo OKS) tl 50 mm š do 3 m</t>
  </si>
  <si>
    <t>565135111</t>
  </si>
  <si>
    <t>577144211</t>
  </si>
  <si>
    <t>Asfaltový beton vrstva obrusná ACO 11 (ABS) tř. II tl 50 mm š do 3 m z nemodifikovaného asfaltu</t>
  </si>
  <si>
    <t>Asfaltový beton vrstva podkladní ACL 16 tl 50 mm š do 3 m z nemodifikovaného asfaltu</t>
  </si>
  <si>
    <t>577145112</t>
  </si>
  <si>
    <t>573231111</t>
  </si>
  <si>
    <t>Postřik živičný spojovací ze silniční emuluze v množství do 0,80 kg/m2</t>
  </si>
  <si>
    <t xml:space="preserve">"komunikace Tuchorazská - bez přípojek, uvažováno 3x0,3, tj.1,5výměry pro množství do 0,8kg/m2 spotřeby" </t>
  </si>
  <si>
    <t>Demontáž vodovodních šoupátek otevřený výkop DN 150</t>
  </si>
  <si>
    <t>Demontáž potrubí z trub litinových DN 150</t>
  </si>
  <si>
    <t>potrubí vodovodní PE100 RC SDR11 6 m, 100 m, 32 x 3,0 mm</t>
  </si>
  <si>
    <t>857312121</t>
  </si>
  <si>
    <t>851015008016T</t>
  </si>
  <si>
    <t>400208000016T</t>
  </si>
  <si>
    <t>400215000016T</t>
  </si>
  <si>
    <t>891261111</t>
  </si>
  <si>
    <t>950205010003T</t>
  </si>
  <si>
    <t>422737412</t>
  </si>
  <si>
    <t>hydrant podzemní Hawle DUO DN80/1500 K 240</t>
  </si>
  <si>
    <t>28614528R</t>
  </si>
  <si>
    <t>28614522R</t>
  </si>
  <si>
    <t>28654579R</t>
  </si>
  <si>
    <t>28654598R</t>
  </si>
  <si>
    <t>28654599R</t>
  </si>
  <si>
    <t>28654600R</t>
  </si>
  <si>
    <t>28654624R</t>
  </si>
  <si>
    <t>Kanalizační tvarovka - rekukce PP Master SN12 DN 250/200</t>
  </si>
  <si>
    <t>Kanalizační tvarovka - rekukce PP Master SN12 DN 200/150</t>
  </si>
  <si>
    <t>28654633R</t>
  </si>
  <si>
    <t>28654632R</t>
  </si>
  <si>
    <t>"nová šachta v Roháčově ulici" - není výška!!!</t>
  </si>
  <si>
    <t>"nová šachta v Roháčově ulici" není výška</t>
  </si>
  <si>
    <t>"nová šachta v Roháčově ulici" 1,0</t>
  </si>
  <si>
    <t xml:space="preserve">"dle položky zásypu" </t>
  </si>
  <si>
    <t xml:space="preserve">"odpočet zásypu zeminou v zeleni" </t>
  </si>
  <si>
    <t>"v zeleném pásu" -((1,75+2,4)/2,0-(0,1+0,1+0,4+0,3))*1,1*(60,0-1,5)</t>
  </si>
  <si>
    <t>"v zeleném pásu k propojovací šachtě" -(2,4-(0,1+0,1+0,4+0,3))*1,1*1,5</t>
  </si>
  <si>
    <t>"v zeleném pásu zbylá část odhad křižovatka Jungmannova DN 250" -(1,75-(0,1+0,1+0,25+0,3))*1,1*9,0</t>
  </si>
  <si>
    <t>"v zeleném pásu" -((1,3+2,1)/2,0-(0,1+0,1+0,15+0,3))*1,0*(4,3+4,7+4,4+5,0-4,0*1,5)</t>
  </si>
  <si>
    <t>"v dlažbě" -5,0*((1,3-0,3+2,1-0,3)/2,0-(0,1+0,1+0,15+0,3))*1,0*2,0</t>
  </si>
  <si>
    <t>"v zeleném pásu" -(1,7-(0,1+0,1+0,2+0,3))*0,7*75,0</t>
  </si>
  <si>
    <t>Mezisoučet odpočtů zásypu zeminou</t>
  </si>
  <si>
    <t>Celkem k zásypu v asfaltech</t>
  </si>
  <si>
    <t>"přepočet na tonáž" 23,805*1,9</t>
  </si>
  <si>
    <t>Montáž litinového potrubí tvárná litina Standard TT  DN150</t>
  </si>
  <si>
    <t xml:space="preserve">potrubí tvárná litina Standard TT DN150 </t>
  </si>
  <si>
    <t>Elektrotvarovka - koleno 90° PE 100 SDR 11 d 160</t>
  </si>
  <si>
    <t>koleno 45° SYSTEM 2000 d 110</t>
  </si>
  <si>
    <t>spojka bez příruby u šoupětě Roháčova ul." 1 ks</t>
  </si>
  <si>
    <t>spojka bez příruby u šoupětě Jungmannova ul." 1 ks</t>
  </si>
  <si>
    <t>T kus Hawle DN 150/100</t>
  </si>
  <si>
    <t>"Roháčova ulice u šoupat" 1 ks</t>
  </si>
  <si>
    <t>Teleskopická z.z.s. šoupatová Hawle E2 DN 80(L 1,3-1,8 m)</t>
  </si>
  <si>
    <t>"pro hydrant" 1,0 ks</t>
  </si>
  <si>
    <t>prodloužené patní koleno Hawle DN 80</t>
  </si>
  <si>
    <t>bez přípojek</t>
  </si>
  <si>
    <t>"rezerva odhadu" 5,0</t>
  </si>
  <si>
    <t>"přípojky a vpusť" 31,5/6</t>
  </si>
  <si>
    <t>"plastová šachta před čp.827" 1,0</t>
  </si>
  <si>
    <t>Plastové dno šachty přímé DN 600/400 PP</t>
  </si>
  <si>
    <t>Trubka korugovaná bez hrdla DN 600/2000 PP</t>
  </si>
  <si>
    <t xml:space="preserve">Těsnění k telesk. adaptéru a bet. prstenci pr. 600 </t>
  </si>
  <si>
    <t>Betonový prstenec DN 600</t>
  </si>
  <si>
    <t xml:space="preserve">"nově provedená náhrada propojovací šachty k cihelné stoce" </t>
  </si>
  <si>
    <t>koš pozink. C3 DIN 4052, vysoký, pro rám 500/500</t>
  </si>
  <si>
    <t>"obetonování cihelných den šachet-2 kusy" 2,0*1,5m3</t>
  </si>
  <si>
    <t xml:space="preserve">Zabezpečení konců potrubí DN do 250 při zkoušce těsnosti stok </t>
  </si>
  <si>
    <t>Zabezpečení konců potrubí DN do 400 při zkoušce těsnosti stok</t>
  </si>
  <si>
    <t xml:space="preserve">řady </t>
  </si>
  <si>
    <t>"v zeleném pásu" (1,5+1,7)/2,0*1,0*(4,3+4,7+4,4-3,0*0,5)</t>
  </si>
  <si>
    <t>"vodovodní přípojky v zeleném pásu 4,3, 4,7, 4,4, 3,6m kraj vozovky odpočet 0,5m na každou přípojku, v dlažbě šíře 2,0m, hl. 1,7-1,5m" - pouze 4 ks přípojek namísto 5 ks kanalizačních - RD nahoře nebude</t>
  </si>
  <si>
    <t>"v dlažbě" 4,0*(1,5-0,3+1,7-0,3)/2,0*1,0*2,0</t>
  </si>
  <si>
    <t>352,016*0,5</t>
  </si>
  <si>
    <t>"v zeleném pásu" 2,0*(1,5+1,7)/2,0*(4,3+4,7+4,4-3,0*0,5)</t>
  </si>
  <si>
    <t>"v dlažbě" 2,0*4,0*(1,5+1,7)/2,0*2,0</t>
  </si>
  <si>
    <t>"v zeleném pásu" (0,05+0,3)*1,0*(4,3+4,7+4,4-3,0*0,5)</t>
  </si>
  <si>
    <t>"v dlažbě" 4,0*(0,05+0,3)*1,0*2,0</t>
  </si>
  <si>
    <t>ODPOČET POTRUBÍ PŘÍPOJKY -3,14*0,032*0,032/4,0*(4,3+4,7+4,4+3,6-4,0*0,5+4,0*2,0)</t>
  </si>
  <si>
    <t>"obsyp" 127,948*1,9</t>
  </si>
  <si>
    <t>127,948*0,25</t>
  </si>
  <si>
    <t>"v zeleném pásu" -((1,5+1,7)/2,0-(0,1+0,1+0,05+0,3))*1,0*(4,3+4,7+4,4-3,0*0,5)</t>
  </si>
  <si>
    <t>"v zeleném pásu" (0,1+0,1)*1,0*(4,3+4,7+4,4-3,0*0,5)</t>
  </si>
  <si>
    <t>"v dlažbě" 4,0*(0,1+0,1)*1,0*2,0</t>
  </si>
  <si>
    <t>"chodníky - vodovodní přípojky" 4,0*1,0*2,0</t>
  </si>
  <si>
    <t>851601104</t>
  </si>
  <si>
    <t>"v zeleném pásu" (4,3+4,7+4,4-3,0*0,5)</t>
  </si>
  <si>
    <t>"v dlažbě" 4,0*2,0</t>
  </si>
  <si>
    <t>422935306R</t>
  </si>
  <si>
    <t>422935325R</t>
  </si>
  <si>
    <t>422935323R</t>
  </si>
  <si>
    <t>"pro hydrant" 1 ks</t>
  </si>
  <si>
    <t>854511000016R</t>
  </si>
  <si>
    <t>286131100R</t>
  </si>
  <si>
    <t>286136610R</t>
  </si>
  <si>
    <t>286136604R</t>
  </si>
  <si>
    <t>851015010016T</t>
  </si>
  <si>
    <t>950205010003T1</t>
  </si>
  <si>
    <t>505008020016</t>
  </si>
  <si>
    <t xml:space="preserve">"pouze odvoz, co bude zásyp štěrkopískem" </t>
  </si>
  <si>
    <t>R002</t>
  </si>
  <si>
    <t xml:space="preserve">J.cena </t>
  </si>
  <si>
    <t>Cena celkem</t>
  </si>
  <si>
    <t>VRN</t>
  </si>
  <si>
    <t>Vedlejší rozpočtové náklady</t>
  </si>
  <si>
    <t>VRN1</t>
  </si>
  <si>
    <t>Průzkumné, geodetické a projektové práce</t>
  </si>
  <si>
    <t>020001000</t>
  </si>
  <si>
    <t>Příprava staveniště - vytyčení inženýrských sítí</t>
  </si>
  <si>
    <t>soubor</t>
  </si>
  <si>
    <t>2</t>
  </si>
  <si>
    <t>030001000</t>
  </si>
  <si>
    <t>Zařízení staveniště</t>
  </si>
  <si>
    <t>3</t>
  </si>
  <si>
    <t>012002000</t>
  </si>
  <si>
    <t>049103000</t>
  </si>
  <si>
    <t>Zpracování DIO a zajištění dopravně inženýrských rozhodnutí</t>
  </si>
  <si>
    <t>090001000</t>
  </si>
  <si>
    <t>Zkouška signalizačního vodiče</t>
  </si>
  <si>
    <t>Průzkumné, geodetické a projektové práce - celkem</t>
  </si>
  <si>
    <t>Vedlejší rozpočtové náklady - celkem bez DPH</t>
  </si>
  <si>
    <t>ČÁST</t>
  </si>
  <si>
    <t>CELKEM</t>
  </si>
  <si>
    <t>VEDLEJŠÍ ROZPOČTOVÉ NÁKLADY</t>
  </si>
  <si>
    <t>VÝMĚNA VODOVODU A KANALIZACE</t>
  </si>
  <si>
    <t>DPH 21%</t>
  </si>
  <si>
    <t>INVESTOR: MĚSTO ČESKÝ BROD, NÁMĚSTÍ HUSOVO 70, 282 01 ČESKÝ BROD,IČO 00235334</t>
  </si>
  <si>
    <t>Demontáž a montáž stožárů veřejného osvětlení</t>
  </si>
  <si>
    <t>Nouzové zajištění pitnou vodou, odstávka dodáveky vody</t>
  </si>
  <si>
    <t>592238741</t>
  </si>
  <si>
    <t>"v asfaltu - odhad tl.vjezd" 1,0*(3,6-1,5)</t>
  </si>
  <si>
    <t>"v asflatu - odhad tl.vjezd" 1,0*(3,6-0,5)</t>
  </si>
  <si>
    <t>R007</t>
  </si>
  <si>
    <t>R008</t>
  </si>
  <si>
    <t>099001000</t>
  </si>
  <si>
    <t>099901000</t>
  </si>
  <si>
    <t>Zúčtovatelná rezerva 10% z ceny díla</t>
  </si>
  <si>
    <t>spojka SYNOFLEX d160</t>
  </si>
  <si>
    <t>spojka SYNOFLEX DN150 / d160 s přírubou</t>
  </si>
  <si>
    <t>spojka SYNOFLEX DN100/d110 s přírubou</t>
  </si>
  <si>
    <t>VÝMĚNA VODOVODU A KANALIZACE V ULICI TUCHORAZSKÉ - VEDLEJŠÍ ROZPOČTOVÉ NÁKLADY</t>
  </si>
  <si>
    <t>VÝMĚNA VODOVODU A KANALIZACE V ULICI TUCHORAZSKÉ</t>
  </si>
  <si>
    <t>Celkem Výměna vodovodu a kanalizace v ulicie Tuchorazské bez DPH</t>
  </si>
  <si>
    <t>Celkem Výměna vodovodu a kanalizace v ulicie Tuchorazské vč. DPH</t>
  </si>
  <si>
    <t>VÝMĚNA VODOVODU A KANALIZACE V ULICI TUCHORAZSKÉ - REKAPITULACE</t>
  </si>
  <si>
    <t>Osetí ploch trávníkem, zválcování, pohnojení, kropení</t>
  </si>
  <si>
    <t xml:space="preserve">"kanalizační řad" </t>
  </si>
  <si>
    <t xml:space="preserve">"kanalizační přípojky" </t>
  </si>
  <si>
    <t>"v zeleném pásu" 1,1*(60,0-1,5)</t>
  </si>
  <si>
    <t>"v zeleném pásu k propojovací šachtě" 1,1*1,5</t>
  </si>
  <si>
    <t>"v zeleném pásu zbylá část odhad křižovatka Jungmannova DN 250" 1,1*9,0</t>
  </si>
  <si>
    <t>"v zeleném pásu" 1,0*(4,3+4,7+4,4+5,0-4,0*1,5)</t>
  </si>
  <si>
    <t>"vodovodní přípojky"</t>
  </si>
  <si>
    <t>R009</t>
  </si>
  <si>
    <t>R010</t>
  </si>
  <si>
    <t>R011</t>
  </si>
  <si>
    <t>R012</t>
  </si>
  <si>
    <t>R013</t>
  </si>
  <si>
    <t>R014</t>
  </si>
  <si>
    <t>R015</t>
  </si>
  <si>
    <t>Demontáž stávajícího kanalizačního potrubí a tvarovek</t>
  </si>
  <si>
    <t>Geodetické práce - vytyčení před stavbou, v průběhu stavby, zaměření skutečného stavu po provedení stavby, geometrický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</si>
</sst>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\ &quot;Kč&quot;"/>
    <numFmt numFmtId="166" formatCode="#,##0.00000"/>
  </numFmts>
  <fonts count="25" x14ac:knownFonts="1">
    <font>
      <sz val="8"/>
      <name val="Trebuchet MS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color rgb="FF505050"/>
      <name val="Arial"/>
      <family val="2"/>
      <charset val="238"/>
    </font>
    <font>
      <sz val="7"/>
      <color rgb="FF969696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rgb="FF0000FF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505050"/>
      <name val="Arial"/>
      <family val="2"/>
      <charset val="238"/>
    </font>
    <font>
      <b/>
      <sz val="7"/>
      <color rgb="FF969696"/>
      <name val="Arial"/>
      <family val="2"/>
      <charset val="238"/>
    </font>
    <font>
      <b/>
      <i/>
      <sz val="8"/>
      <color rgb="FF0000FF"/>
      <name val="Arial"/>
      <family val="2"/>
      <charset val="238"/>
    </font>
    <font>
      <b/>
      <sz val="8"/>
      <name val="Trebuchet MS"/>
      <family val="2"/>
    </font>
    <font>
      <i/>
      <sz val="8"/>
      <color rgb="FF505050"/>
      <name val="Arial"/>
      <family val="2"/>
      <charset val="238"/>
    </font>
    <font>
      <i/>
      <sz val="7"/>
      <color rgb="FF969696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Trebuchet MS"/>
      <family val="2"/>
      <charset val="238"/>
    </font>
    <font>
      <b/>
      <i/>
      <sz val="8"/>
      <color rgb="FF50505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65" fontId="0" fillId="2" borderId="0" xfId="0" applyNumberFormat="1" applyFill="1" applyProtection="1">
      <protection locked="0"/>
    </xf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left" vertical="center" wrapText="1"/>
    </xf>
    <xf numFmtId="165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164" fontId="1" fillId="0" borderId="13" xfId="0" applyNumberFormat="1" applyFont="1" applyBorder="1" applyAlignment="1" applyProtection="1">
      <alignment horizontal="right" vertical="center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165" fontId="1" fillId="2" borderId="6" xfId="0" applyNumberFormat="1" applyFont="1" applyFill="1" applyBorder="1" applyAlignment="1" applyProtection="1">
      <alignment vertical="center"/>
      <protection locked="0"/>
    </xf>
    <xf numFmtId="165" fontId="1" fillId="2" borderId="7" xfId="0" applyNumberFormat="1" applyFont="1" applyFill="1" applyBorder="1" applyAlignment="1" applyProtection="1">
      <alignment vertical="center"/>
      <protection locked="0"/>
    </xf>
    <xf numFmtId="0" fontId="4" fillId="0" borderId="5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164" fontId="4" fillId="0" borderId="1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165" fontId="4" fillId="2" borderId="6" xfId="0" applyNumberFormat="1" applyFont="1" applyFill="1" applyBorder="1" applyAlignment="1" applyProtection="1">
      <alignment vertical="center"/>
      <protection locked="0"/>
    </xf>
    <xf numFmtId="165" fontId="4" fillId="2" borderId="7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164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165" fontId="6" fillId="2" borderId="6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164" fontId="7" fillId="0" borderId="13" xfId="0" applyNumberFormat="1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165" fontId="7" fillId="2" borderId="6" xfId="0" applyNumberFormat="1" applyFont="1" applyFill="1" applyBorder="1" applyAlignment="1" applyProtection="1">
      <alignment vertical="center"/>
      <protection locked="0"/>
    </xf>
    <xf numFmtId="165" fontId="7" fillId="2" borderId="7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left" vertical="center"/>
    </xf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165" fontId="8" fillId="2" borderId="1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5" fontId="8" fillId="2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12" fillId="0" borderId="8" xfId="0" applyFont="1" applyBorder="1" applyAlignment="1"/>
    <xf numFmtId="0" fontId="1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2" fillId="0" borderId="9" xfId="0" applyFont="1" applyBorder="1" applyAlignment="1">
      <alignment horizontal="right"/>
    </xf>
    <xf numFmtId="165" fontId="12" fillId="2" borderId="9" xfId="0" applyNumberFormat="1" applyFont="1" applyFill="1" applyBorder="1" applyAlignment="1" applyProtection="1">
      <protection locked="0"/>
    </xf>
    <xf numFmtId="165" fontId="12" fillId="2" borderId="10" xfId="0" applyNumberFormat="1" applyFont="1" applyFill="1" applyBorder="1" applyAlignment="1" applyProtection="1">
      <protection locked="0"/>
    </xf>
    <xf numFmtId="0" fontId="12" fillId="0" borderId="0" xfId="0" applyFont="1" applyAlignment="1"/>
    <xf numFmtId="0" fontId="9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164" fontId="1" fillId="0" borderId="13" xfId="0" applyNumberFormat="1" applyFont="1" applyBorder="1" applyAlignment="1" applyProtection="1">
      <alignment vertical="center"/>
      <protection locked="0"/>
    </xf>
    <xf numFmtId="0" fontId="11" fillId="0" borderId="8" xfId="0" applyFont="1" applyBorder="1" applyAlignment="1"/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right"/>
    </xf>
    <xf numFmtId="165" fontId="11" fillId="2" borderId="9" xfId="0" applyNumberFormat="1" applyFont="1" applyFill="1" applyBorder="1" applyAlignment="1" applyProtection="1">
      <protection locked="0"/>
    </xf>
    <xf numFmtId="165" fontId="11" fillId="2" borderId="10" xfId="0" applyNumberFormat="1" applyFont="1" applyFill="1" applyBorder="1" applyAlignment="1" applyProtection="1">
      <protection locked="0"/>
    </xf>
    <xf numFmtId="0" fontId="11" fillId="0" borderId="0" xfId="0" applyFont="1" applyAlignment="1"/>
    <xf numFmtId="164" fontId="4" fillId="0" borderId="13" xfId="0" applyNumberFormat="1" applyFont="1" applyBorder="1" applyAlignment="1">
      <alignment vertical="center"/>
    </xf>
    <xf numFmtId="164" fontId="7" fillId="0" borderId="13" xfId="0" applyNumberFormat="1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165" fontId="8" fillId="0" borderId="1" xfId="0" applyNumberFormat="1" applyFont="1" applyBorder="1" applyAlignment="1">
      <alignment horizontal="right"/>
    </xf>
    <xf numFmtId="0" fontId="11" fillId="0" borderId="22" xfId="0" applyFont="1" applyBorder="1" applyAlignment="1">
      <alignment horizontal="left"/>
    </xf>
    <xf numFmtId="165" fontId="11" fillId="2" borderId="22" xfId="0" applyNumberFormat="1" applyFont="1" applyFill="1" applyBorder="1" applyAlignment="1" applyProtection="1">
      <protection locked="0"/>
    </xf>
    <xf numFmtId="0" fontId="11" fillId="0" borderId="20" xfId="0" applyFont="1" applyBorder="1" applyAlignment="1"/>
    <xf numFmtId="0" fontId="11" fillId="0" borderId="16" xfId="0" applyFont="1" applyBorder="1" applyAlignment="1">
      <alignment horizontal="left"/>
    </xf>
    <xf numFmtId="165" fontId="11" fillId="2" borderId="16" xfId="0" applyNumberFormat="1" applyFont="1" applyFill="1" applyBorder="1" applyAlignment="1" applyProtection="1">
      <protection locked="0"/>
    </xf>
    <xf numFmtId="0" fontId="11" fillId="0" borderId="22" xfId="0" applyFont="1" applyBorder="1" applyAlignment="1">
      <alignment horizontal="right"/>
    </xf>
    <xf numFmtId="0" fontId="11" fillId="0" borderId="15" xfId="0" applyFont="1" applyBorder="1" applyAlignment="1"/>
    <xf numFmtId="0" fontId="11" fillId="0" borderId="16" xfId="0" applyFont="1" applyBorder="1" applyAlignment="1">
      <alignment horizontal="right"/>
    </xf>
    <xf numFmtId="165" fontId="11" fillId="2" borderId="21" xfId="0" applyNumberFormat="1" applyFont="1" applyFill="1" applyBorder="1" applyAlignment="1" applyProtection="1">
      <protection locked="0"/>
    </xf>
    <xf numFmtId="165" fontId="11" fillId="2" borderId="17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165" fontId="14" fillId="2" borderId="6" xfId="0" applyNumberFormat="1" applyFont="1" applyFill="1" applyBorder="1" applyAlignment="1" applyProtection="1">
      <alignment vertical="center"/>
      <protection locked="0"/>
    </xf>
    <xf numFmtId="164" fontId="6" fillId="0" borderId="6" xfId="0" applyNumberFormat="1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64" fontId="12" fillId="0" borderId="13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horizontal="left" vertical="center"/>
    </xf>
    <xf numFmtId="165" fontId="12" fillId="2" borderId="6" xfId="0" applyNumberFormat="1" applyFont="1" applyFill="1" applyBorder="1" applyAlignment="1" applyProtection="1">
      <alignment vertical="center"/>
      <protection locked="0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164" fontId="15" fillId="0" borderId="13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horizontal="left" vertical="center"/>
    </xf>
    <xf numFmtId="165" fontId="15" fillId="2" borderId="6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7" fillId="0" borderId="6" xfId="0" applyFont="1" applyBorder="1" applyAlignment="1" applyProtection="1">
      <alignment horizontal="left" vertical="center" wrapText="1"/>
      <protection locked="0"/>
    </xf>
    <xf numFmtId="164" fontId="17" fillId="0" borderId="13" xfId="0" applyNumberFormat="1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left" vertical="center" wrapText="1"/>
      <protection locked="0"/>
    </xf>
    <xf numFmtId="165" fontId="17" fillId="2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Border="1"/>
    <xf numFmtId="164" fontId="15" fillId="0" borderId="13" xfId="0" applyNumberFormat="1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0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0" applyFont="1" applyBorder="1" applyAlignment="1">
      <alignment horizontal="left" vertical="center"/>
    </xf>
    <xf numFmtId="165" fontId="19" fillId="2" borderId="6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6" fontId="8" fillId="0" borderId="0" xfId="0" applyNumberFormat="1" applyFont="1"/>
    <xf numFmtId="166" fontId="8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23" fillId="0" borderId="18" xfId="0" applyNumberFormat="1" applyFont="1" applyBorder="1" applyAlignment="1">
      <alignment horizontal="center" vertical="center" wrapText="1"/>
    </xf>
    <xf numFmtId="166" fontId="23" fillId="0" borderId="25" xfId="0" applyNumberFormat="1" applyFont="1" applyBorder="1" applyAlignment="1">
      <alignment horizontal="center" vertical="center" wrapText="1"/>
    </xf>
    <xf numFmtId="166" fontId="23" fillId="0" borderId="19" xfId="0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/>
    <xf numFmtId="166" fontId="11" fillId="0" borderId="11" xfId="0" applyNumberFormat="1" applyFont="1" applyBorder="1" applyAlignment="1"/>
    <xf numFmtId="166" fontId="11" fillId="0" borderId="4" xfId="0" applyNumberFormat="1" applyFont="1" applyBorder="1" applyAlignment="1"/>
    <xf numFmtId="166" fontId="11" fillId="0" borderId="5" xfId="0" applyNumberFormat="1" applyFont="1" applyBorder="1" applyAlignment="1"/>
    <xf numFmtId="166" fontId="11" fillId="0" borderId="13" xfId="0" applyNumberFormat="1" applyFont="1" applyBorder="1" applyAlignment="1"/>
    <xf numFmtId="166" fontId="11" fillId="0" borderId="7" xfId="0" applyNumberFormat="1" applyFont="1" applyBorder="1" applyAlignment="1"/>
    <xf numFmtId="166" fontId="1" fillId="0" borderId="5" xfId="0" applyNumberFormat="1" applyFont="1" applyBorder="1" applyAlignment="1">
      <alignment vertical="center"/>
    </xf>
    <xf numFmtId="166" fontId="4" fillId="0" borderId="5" xfId="0" applyNumberFormat="1" applyFont="1" applyBorder="1" applyAlignment="1">
      <alignment vertical="center"/>
    </xf>
    <xf numFmtId="166" fontId="6" fillId="0" borderId="5" xfId="0" applyNumberFormat="1" applyFont="1" applyBorder="1" applyAlignment="1">
      <alignment vertical="center"/>
    </xf>
    <xf numFmtId="166" fontId="14" fillId="0" borderId="5" xfId="0" applyNumberFormat="1" applyFont="1" applyBorder="1" applyAlignment="1">
      <alignment vertical="center"/>
    </xf>
    <xf numFmtId="166" fontId="14" fillId="0" borderId="7" xfId="0" applyNumberFormat="1" applyFont="1" applyBorder="1" applyAlignment="1">
      <alignment vertical="center"/>
    </xf>
    <xf numFmtId="166" fontId="15" fillId="0" borderId="5" xfId="0" applyNumberFormat="1" applyFont="1" applyBorder="1" applyAlignment="1">
      <alignment vertical="center"/>
    </xf>
    <xf numFmtId="166" fontId="12" fillId="0" borderId="13" xfId="0" applyNumberFormat="1" applyFont="1" applyBorder="1" applyAlignment="1">
      <alignment vertical="center"/>
    </xf>
    <xf numFmtId="166" fontId="12" fillId="0" borderId="7" xfId="0" applyNumberFormat="1" applyFont="1" applyBorder="1" applyAlignment="1">
      <alignment vertical="center"/>
    </xf>
    <xf numFmtId="166" fontId="19" fillId="0" borderId="5" xfId="0" applyNumberFormat="1" applyFont="1" applyBorder="1" applyAlignment="1">
      <alignment vertical="center"/>
    </xf>
    <xf numFmtId="166" fontId="22" fillId="0" borderId="5" xfId="0" applyNumberFormat="1" applyFont="1" applyBorder="1" applyAlignment="1">
      <alignment vertical="center"/>
    </xf>
    <xf numFmtId="166" fontId="15" fillId="0" borderId="7" xfId="0" applyNumberFormat="1" applyFont="1" applyBorder="1" applyAlignment="1">
      <alignment vertical="center"/>
    </xf>
    <xf numFmtId="166" fontId="12" fillId="0" borderId="5" xfId="0" applyNumberFormat="1" applyFont="1" applyBorder="1" applyAlignment="1"/>
    <xf numFmtId="166" fontId="12" fillId="0" borderId="7" xfId="0" applyNumberFormat="1" applyFont="1" applyBorder="1" applyAlignment="1"/>
    <xf numFmtId="166" fontId="11" fillId="0" borderId="23" xfId="0" applyNumberFormat="1" applyFont="1" applyBorder="1" applyAlignment="1"/>
    <xf numFmtId="166" fontId="11" fillId="0" borderId="26" xfId="0" applyNumberFormat="1" applyFont="1" applyBorder="1" applyAlignment="1"/>
    <xf numFmtId="166" fontId="11" fillId="0" borderId="24" xfId="0" applyNumberFormat="1" applyFont="1" applyBorder="1" applyAlignment="1"/>
    <xf numFmtId="166" fontId="0" fillId="0" borderId="0" xfId="0" applyNumberFormat="1"/>
    <xf numFmtId="166" fontId="18" fillId="0" borderId="0" xfId="0" applyNumberFormat="1" applyFont="1"/>
    <xf numFmtId="166" fontId="9" fillId="0" borderId="0" xfId="0" applyNumberFormat="1" applyFont="1"/>
    <xf numFmtId="166" fontId="9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166" fontId="24" fillId="0" borderId="7" xfId="0" applyNumberFormat="1" applyFont="1" applyBorder="1" applyAlignment="1">
      <alignment vertical="center"/>
    </xf>
    <xf numFmtId="166" fontId="2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6" fontId="6" fillId="0" borderId="7" xfId="0" applyNumberFormat="1" applyFont="1" applyBorder="1" applyAlignment="1">
      <alignment vertical="center"/>
    </xf>
    <xf numFmtId="166" fontId="1" fillId="0" borderId="7" xfId="0" applyNumberFormat="1" applyFont="1" applyBorder="1" applyAlignment="1">
      <alignment vertical="center"/>
    </xf>
    <xf numFmtId="166" fontId="4" fillId="0" borderId="7" xfId="0" applyNumberFormat="1" applyFont="1" applyBorder="1" applyAlignment="1">
      <alignment vertical="center"/>
    </xf>
    <xf numFmtId="166" fontId="22" fillId="0" borderId="7" xfId="0" applyNumberFormat="1" applyFont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right"/>
    </xf>
    <xf numFmtId="0" fontId="11" fillId="2" borderId="0" xfId="0" applyFont="1" applyFill="1" applyAlignment="1"/>
    <xf numFmtId="166" fontId="11" fillId="2" borderId="5" xfId="0" applyNumberFormat="1" applyFont="1" applyFill="1" applyBorder="1" applyAlignment="1"/>
    <xf numFmtId="166" fontId="11" fillId="2" borderId="7" xfId="0" applyNumberFormat="1" applyFont="1" applyFill="1" applyBorder="1" applyAlignment="1"/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49" fontId="7" fillId="2" borderId="6" xfId="0" applyNumberFormat="1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164" fontId="7" fillId="2" borderId="13" xfId="0" applyNumberFormat="1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164" fontId="1" fillId="0" borderId="9" xfId="0" applyNumberFormat="1" applyFont="1" applyBorder="1" applyAlignment="1" applyProtection="1">
      <alignment horizontal="right" vertical="center"/>
      <protection locked="0"/>
    </xf>
    <xf numFmtId="165" fontId="1" fillId="2" borderId="9" xfId="0" applyNumberFormat="1" applyFont="1" applyFill="1" applyBorder="1" applyAlignment="1" applyProtection="1">
      <alignment vertical="center"/>
      <protection locked="0"/>
    </xf>
    <xf numFmtId="165" fontId="1" fillId="2" borderId="10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166" fontId="1" fillId="2" borderId="5" xfId="0" applyNumberFormat="1" applyFont="1" applyFill="1" applyBorder="1" applyAlignment="1">
      <alignment vertical="center"/>
    </xf>
    <xf numFmtId="166" fontId="12" fillId="2" borderId="7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164" fontId="4" fillId="2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49" fontId="1" fillId="2" borderId="6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13" xfId="0" applyNumberFormat="1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166" fontId="4" fillId="2" borderId="5" xfId="0" applyNumberFormat="1" applyFont="1" applyFill="1" applyBorder="1" applyAlignment="1">
      <alignment vertical="center"/>
    </xf>
    <xf numFmtId="164" fontId="4" fillId="0" borderId="6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164" fontId="7" fillId="2" borderId="13" xfId="0" applyNumberFormat="1" applyFont="1" applyFill="1" applyBorder="1" applyAlignment="1" applyProtection="1">
      <alignment horizontal="right" vertical="center"/>
      <protection locked="0"/>
    </xf>
    <xf numFmtId="0" fontId="7" fillId="2" borderId="14" xfId="0" applyFont="1" applyFill="1" applyBorder="1" applyAlignment="1" applyProtection="1">
      <alignment horizontal="left" vertical="center" wrapText="1"/>
      <protection locked="0"/>
    </xf>
    <xf numFmtId="164" fontId="1" fillId="2" borderId="13" xfId="0" applyNumberFormat="1" applyFont="1" applyFill="1" applyBorder="1" applyAlignment="1" applyProtection="1">
      <alignment vertical="center"/>
      <protection locked="0"/>
    </xf>
    <xf numFmtId="164" fontId="1" fillId="2" borderId="13" xfId="0" applyNumberFormat="1" applyFont="1" applyFill="1" applyBorder="1" applyAlignment="1" applyProtection="1">
      <alignment horizontal="right" vertical="center"/>
      <protection locked="0"/>
    </xf>
    <xf numFmtId="166" fontId="1" fillId="0" borderId="13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1" fillId="2" borderId="0" xfId="0" applyNumberFormat="1" applyFont="1" applyFill="1" applyAlignment="1">
      <alignment vertical="center"/>
    </xf>
    <xf numFmtId="165" fontId="1" fillId="0" borderId="0" xfId="0" applyNumberFormat="1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165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4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9" xfId="0" applyFont="1" applyBorder="1" applyAlignment="1"/>
    <xf numFmtId="165" fontId="11" fillId="0" borderId="10" xfId="0" applyNumberFormat="1" applyFont="1" applyBorder="1" applyAlignment="1"/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164" fontId="10" fillId="0" borderId="13" xfId="0" applyNumberFormat="1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165" fontId="10" fillId="2" borderId="6" xfId="0" applyNumberFormat="1" applyFont="1" applyFill="1" applyBorder="1" applyAlignment="1" applyProtection="1">
      <alignment vertical="center"/>
      <protection locked="0"/>
    </xf>
    <xf numFmtId="165" fontId="10" fillId="0" borderId="7" xfId="0" applyNumberFormat="1" applyFont="1" applyBorder="1" applyAlignment="1" applyProtection="1">
      <alignment vertical="center"/>
      <protection locked="0"/>
    </xf>
    <xf numFmtId="0" fontId="11" fillId="0" borderId="22" xfId="0" applyFont="1" applyBorder="1" applyAlignment="1"/>
    <xf numFmtId="165" fontId="11" fillId="0" borderId="21" xfId="0" applyNumberFormat="1" applyFont="1" applyBorder="1" applyAlignment="1"/>
    <xf numFmtId="0" fontId="11" fillId="0" borderId="16" xfId="0" applyFont="1" applyBorder="1" applyAlignment="1"/>
    <xf numFmtId="165" fontId="11" fillId="0" borderId="17" xfId="0" applyNumberFormat="1" applyFont="1" applyBorder="1" applyAlignme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/>
    <xf numFmtId="165" fontId="1" fillId="2" borderId="0" xfId="0" applyNumberFormat="1" applyFont="1" applyFill="1" applyProtection="1">
      <protection locked="0"/>
    </xf>
    <xf numFmtId="165" fontId="1" fillId="0" borderId="0" xfId="0" applyNumberFormat="1" applyFont="1"/>
    <xf numFmtId="165" fontId="8" fillId="0" borderId="0" xfId="0" applyNumberFormat="1" applyFont="1" applyAlignment="1">
      <alignment horizontal="right"/>
    </xf>
    <xf numFmtId="0" fontId="11" fillId="0" borderId="15" xfId="0" applyFont="1" applyBorder="1"/>
    <xf numFmtId="165" fontId="11" fillId="0" borderId="19" xfId="0" applyNumberFormat="1" applyFont="1" applyBorder="1" applyAlignment="1">
      <alignment horizontal="right"/>
    </xf>
    <xf numFmtId="0" fontId="10" fillId="0" borderId="0" xfId="0" applyFont="1"/>
    <xf numFmtId="0" fontId="10" fillId="0" borderId="27" xfId="0" applyFont="1" applyBorder="1"/>
    <xf numFmtId="165" fontId="10" fillId="0" borderId="4" xfId="0" applyNumberFormat="1" applyFont="1" applyBorder="1" applyAlignment="1">
      <alignment horizontal="right"/>
    </xf>
    <xf numFmtId="0" fontId="10" fillId="0" borderId="8" xfId="0" applyFont="1" applyBorder="1"/>
    <xf numFmtId="165" fontId="10" fillId="0" borderId="7" xfId="0" applyNumberFormat="1" applyFont="1" applyBorder="1" applyAlignment="1">
      <alignment horizontal="right"/>
    </xf>
    <xf numFmtId="0" fontId="10" fillId="0" borderId="20" xfId="0" applyFont="1" applyBorder="1"/>
    <xf numFmtId="165" fontId="10" fillId="0" borderId="21" xfId="0" applyNumberFormat="1" applyFont="1" applyBorder="1" applyAlignment="1">
      <alignment horizontal="right"/>
    </xf>
    <xf numFmtId="0" fontId="11" fillId="0" borderId="18" xfId="0" applyFont="1" applyBorder="1"/>
    <xf numFmtId="0" fontId="22" fillId="0" borderId="6" xfId="0" applyFont="1" applyBorder="1" applyAlignment="1">
      <alignment horizontal="left" vertical="center" wrapText="1"/>
    </xf>
    <xf numFmtId="164" fontId="22" fillId="0" borderId="13" xfId="0" applyNumberFormat="1" applyFont="1" applyBorder="1" applyAlignment="1">
      <alignment horizontal="right" vertical="center"/>
    </xf>
    <xf numFmtId="0" fontId="22" fillId="0" borderId="14" xfId="0" applyFont="1" applyBorder="1" applyAlignment="1">
      <alignment horizontal="left" vertical="center"/>
    </xf>
    <xf numFmtId="164" fontId="19" fillId="0" borderId="13" xfId="0" applyNumberFormat="1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22" fillId="0" borderId="6" xfId="0" applyFont="1" applyBorder="1" applyAlignment="1" applyProtection="1">
      <alignment horizontal="left" vertical="center" wrapText="1"/>
      <protection locked="0"/>
    </xf>
    <xf numFmtId="164" fontId="22" fillId="0" borderId="13" xfId="0" applyNumberFormat="1" applyFont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49" fontId="22" fillId="0" borderId="9" xfId="0" applyNumberFormat="1" applyFont="1" applyBorder="1" applyAlignment="1" applyProtection="1">
      <alignment horizontal="left" vertical="center" wrapText="1"/>
      <protection locked="0"/>
    </xf>
    <xf numFmtId="165" fontId="22" fillId="2" borderId="9" xfId="0" applyNumberFormat="1" applyFont="1" applyFill="1" applyBorder="1" applyAlignment="1" applyProtection="1">
      <alignment vertical="center"/>
      <protection locked="0"/>
    </xf>
    <xf numFmtId="165" fontId="22" fillId="2" borderId="10" xfId="0" applyNumberFormat="1" applyFont="1" applyFill="1" applyBorder="1" applyAlignment="1" applyProtection="1">
      <alignment vertical="center"/>
      <protection locked="0"/>
    </xf>
    <xf numFmtId="166" fontId="21" fillId="0" borderId="13" xfId="0" applyNumberFormat="1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A14" sqref="A14"/>
    </sheetView>
  </sheetViews>
  <sheetFormatPr defaultRowHeight="18" x14ac:dyDescent="0.25"/>
  <cols>
    <col min="1" max="1" width="119.33203125" style="46" customWidth="1"/>
    <col min="2" max="2" width="29.6640625" style="237" customWidth="1"/>
    <col min="3" max="3" width="21" style="46" customWidth="1"/>
    <col min="4" max="16384" width="9.33203125" style="46"/>
  </cols>
  <sheetData>
    <row r="1" spans="1:6" x14ac:dyDescent="0.25">
      <c r="A1" s="44" t="s">
        <v>218</v>
      </c>
      <c r="B1" s="76"/>
    </row>
    <row r="2" spans="1:6" x14ac:dyDescent="0.25">
      <c r="A2" s="44" t="s">
        <v>605</v>
      </c>
      <c r="B2" s="76"/>
    </row>
    <row r="3" spans="1:6" x14ac:dyDescent="0.25">
      <c r="A3" s="63"/>
      <c r="B3" s="63"/>
      <c r="C3" s="76"/>
      <c r="D3" s="76"/>
      <c r="E3" s="76"/>
      <c r="F3" s="76"/>
    </row>
    <row r="4" spans="1:6" ht="18.75" thickBot="1" x14ac:dyDescent="0.3">
      <c r="A4" s="53" t="s">
        <v>623</v>
      </c>
    </row>
    <row r="5" spans="1:6" s="240" customFormat="1" ht="24.95" customHeight="1" thickBot="1" x14ac:dyDescent="0.25">
      <c r="A5" s="238" t="s">
        <v>600</v>
      </c>
      <c r="B5" s="239" t="s">
        <v>601</v>
      </c>
    </row>
    <row r="6" spans="1:6" s="240" customFormat="1" ht="24.95" customHeight="1" x14ac:dyDescent="0.2">
      <c r="A6" s="241" t="s">
        <v>603</v>
      </c>
      <c r="B6" s="242">
        <f>'VÝMĚNA V+K'!H679</f>
        <v>0</v>
      </c>
    </row>
    <row r="7" spans="1:6" s="240" customFormat="1" ht="24.95" customHeight="1" x14ac:dyDescent="0.2">
      <c r="A7" s="243" t="s">
        <v>602</v>
      </c>
      <c r="B7" s="244">
        <f>'VRN_Vedlejší rozpočtové náklady'!H18</f>
        <v>0</v>
      </c>
    </row>
    <row r="8" spans="1:6" s="240" customFormat="1" ht="24.95" customHeight="1" thickBot="1" x14ac:dyDescent="0.25">
      <c r="A8" s="245"/>
      <c r="B8" s="246"/>
    </row>
    <row r="9" spans="1:6" s="240" customFormat="1" ht="24.95" customHeight="1" thickBot="1" x14ac:dyDescent="0.25">
      <c r="A9" s="247" t="s">
        <v>621</v>
      </c>
      <c r="B9" s="239">
        <f>SUM(B6:B8)</f>
        <v>0</v>
      </c>
    </row>
    <row r="10" spans="1:6" s="240" customFormat="1" ht="24.95" customHeight="1" thickBot="1" x14ac:dyDescent="0.25">
      <c r="A10" s="247" t="s">
        <v>604</v>
      </c>
      <c r="B10" s="239">
        <f>B9*21%</f>
        <v>0</v>
      </c>
    </row>
    <row r="11" spans="1:6" s="240" customFormat="1" ht="24.95" customHeight="1" thickBot="1" x14ac:dyDescent="0.25">
      <c r="A11" s="247" t="s">
        <v>622</v>
      </c>
      <c r="B11" s="239">
        <f>B9+B10</f>
        <v>0</v>
      </c>
    </row>
    <row r="12" spans="1:6" ht="24.95" customHeight="1" x14ac:dyDescent="0.25"/>
    <row r="13" spans="1:6" ht="24.95" customHeight="1" x14ac:dyDescent="0.25"/>
    <row r="14" spans="1:6" ht="24.95" customHeight="1" x14ac:dyDescent="0.25">
      <c r="B14" s="46"/>
    </row>
    <row r="15" spans="1:6" ht="24.95" customHeight="1" x14ac:dyDescent="0.25">
      <c r="B15" s="46"/>
    </row>
    <row r="16" spans="1:6" x14ac:dyDescent="0.25">
      <c r="B16" s="46"/>
    </row>
    <row r="17" spans="2:2" x14ac:dyDescent="0.25">
      <c r="B17" s="46"/>
    </row>
    <row r="18" spans="2:2" x14ac:dyDescent="0.25">
      <c r="B18" s="46"/>
    </row>
    <row r="19" spans="2:2" x14ac:dyDescent="0.25">
      <c r="B19" s="46"/>
    </row>
    <row r="20" spans="2:2" x14ac:dyDescent="0.25">
      <c r="B20" s="46"/>
    </row>
    <row r="21" spans="2:2" x14ac:dyDescent="0.25">
      <c r="B21" s="46"/>
    </row>
    <row r="22" spans="2:2" x14ac:dyDescent="0.25">
      <c r="B22" s="46"/>
    </row>
  </sheetData>
  <printOptions horizontalCentered="1"/>
  <pageMargins left="0.11811023622047245" right="0.11811023622047245" top="0.19685039370078741" bottom="0.19685039370078741" header="0.31496062992125984" footer="0.31496062992125984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9"/>
  <sheetViews>
    <sheetView showGridLines="0" topLeftCell="A667" zoomScale="130" zoomScaleNormal="130" zoomScaleSheetLayoutView="85" workbookViewId="0">
      <selection activeCell="T236" sqref="T236"/>
    </sheetView>
  </sheetViews>
  <sheetFormatPr defaultRowHeight="13.5" x14ac:dyDescent="0.3"/>
  <cols>
    <col min="1" max="2" width="5.83203125" customWidth="1"/>
    <col min="3" max="3" width="10.83203125" bestFit="1" customWidth="1"/>
    <col min="4" max="4" width="74" customWidth="1"/>
    <col min="5" max="5" width="11.1640625" style="1" customWidth="1"/>
    <col min="6" max="6" width="4.6640625" style="2" customWidth="1"/>
    <col min="7" max="7" width="11.83203125" style="3" customWidth="1"/>
    <col min="8" max="8" width="20.33203125" style="3" customWidth="1"/>
    <col min="9" max="9" width="9.33203125" hidden="1" customWidth="1"/>
    <col min="10" max="10" width="12.83203125" style="155" hidden="1" customWidth="1"/>
    <col min="11" max="11" width="12.83203125" style="156" hidden="1" customWidth="1"/>
    <col min="12" max="12" width="12.83203125" style="155" hidden="1" customWidth="1"/>
    <col min="13" max="13" width="12.83203125" style="156" hidden="1" customWidth="1"/>
    <col min="14" max="14" width="9.33203125" hidden="1" customWidth="1"/>
    <col min="15" max="28" width="9.33203125" customWidth="1"/>
  </cols>
  <sheetData>
    <row r="1" spans="1:13" s="46" customFormat="1" ht="36.950000000000003" customHeight="1" x14ac:dyDescent="0.25">
      <c r="A1" s="44" t="s">
        <v>218</v>
      </c>
      <c r="B1" s="45"/>
      <c r="E1" s="47"/>
      <c r="F1" s="48"/>
      <c r="G1" s="49"/>
      <c r="H1" s="49"/>
      <c r="J1" s="127"/>
      <c r="K1" s="157"/>
      <c r="L1" s="127"/>
      <c r="M1" s="157"/>
    </row>
    <row r="2" spans="1:13" s="46" customFormat="1" ht="24.95" customHeight="1" x14ac:dyDescent="0.25">
      <c r="A2" s="44" t="s">
        <v>175</v>
      </c>
      <c r="B2" s="76"/>
      <c r="J2" s="127"/>
      <c r="K2" s="157"/>
      <c r="L2" s="127"/>
      <c r="M2" s="157"/>
    </row>
    <row r="3" spans="1:13" s="46" customFormat="1" ht="36.950000000000003" customHeight="1" x14ac:dyDescent="0.25">
      <c r="A3" s="63"/>
      <c r="B3" s="45"/>
      <c r="C3" s="45"/>
      <c r="D3" s="45"/>
      <c r="E3" s="47"/>
      <c r="F3" s="48"/>
      <c r="G3" s="49"/>
      <c r="H3" s="49"/>
      <c r="J3" s="127"/>
      <c r="K3" s="157"/>
      <c r="L3" s="127"/>
      <c r="M3" s="157"/>
    </row>
    <row r="4" spans="1:13" s="52" customFormat="1" ht="36.950000000000003" customHeight="1" thickBot="1" x14ac:dyDescent="0.35">
      <c r="A4" s="53" t="s">
        <v>620</v>
      </c>
      <c r="E4" s="50"/>
      <c r="F4" s="51"/>
      <c r="G4" s="54"/>
      <c r="H4" s="54"/>
      <c r="J4" s="128"/>
      <c r="K4" s="158"/>
      <c r="L4" s="128"/>
      <c r="M4" s="158"/>
    </row>
    <row r="5" spans="1:13" s="55" customFormat="1" ht="67.5" customHeight="1" thickBot="1" x14ac:dyDescent="0.35">
      <c r="A5" s="264" t="s">
        <v>174</v>
      </c>
      <c r="B5" s="265"/>
      <c r="C5" s="265"/>
      <c r="D5" s="265"/>
      <c r="E5" s="265"/>
      <c r="F5" s="265"/>
      <c r="G5" s="265"/>
      <c r="H5" s="266"/>
      <c r="J5" s="129"/>
      <c r="K5" s="159"/>
      <c r="L5" s="129"/>
      <c r="M5" s="159"/>
    </row>
    <row r="6" spans="1:13" s="12" customFormat="1" ht="35.1" customHeight="1" thickBot="1" x14ac:dyDescent="0.35">
      <c r="A6" s="5" t="s">
        <v>5</v>
      </c>
      <c r="B6" s="6" t="s">
        <v>2</v>
      </c>
      <c r="C6" s="6" t="s">
        <v>1</v>
      </c>
      <c r="D6" s="7" t="s">
        <v>6</v>
      </c>
      <c r="E6" s="8" t="s">
        <v>8</v>
      </c>
      <c r="F6" s="9" t="s">
        <v>7</v>
      </c>
      <c r="G6" s="10" t="s">
        <v>167</v>
      </c>
      <c r="H6" s="11" t="s">
        <v>168</v>
      </c>
      <c r="J6" s="130" t="s">
        <v>191</v>
      </c>
      <c r="K6" s="131" t="s">
        <v>192</v>
      </c>
      <c r="L6" s="130" t="s">
        <v>193</v>
      </c>
      <c r="M6" s="132" t="s">
        <v>194</v>
      </c>
    </row>
    <row r="7" spans="1:13" s="71" customFormat="1" ht="35.1" customHeight="1" x14ac:dyDescent="0.2">
      <c r="A7" s="66"/>
      <c r="B7" s="67" t="s">
        <v>3</v>
      </c>
      <c r="C7" s="67" t="s">
        <v>9</v>
      </c>
      <c r="D7" s="67" t="s">
        <v>10</v>
      </c>
      <c r="E7" s="68"/>
      <c r="F7" s="67"/>
      <c r="G7" s="69"/>
      <c r="H7" s="70"/>
      <c r="J7" s="133"/>
      <c r="K7" s="134"/>
      <c r="L7" s="133"/>
      <c r="M7" s="135"/>
    </row>
    <row r="8" spans="1:13" s="71" customFormat="1" ht="35.1" customHeight="1" x14ac:dyDescent="0.2">
      <c r="A8" s="66"/>
      <c r="B8" s="67" t="s">
        <v>3</v>
      </c>
      <c r="C8" s="67" t="s">
        <v>4</v>
      </c>
      <c r="D8" s="67" t="s">
        <v>11</v>
      </c>
      <c r="E8" s="68"/>
      <c r="F8" s="67"/>
      <c r="G8" s="69"/>
      <c r="H8" s="70"/>
      <c r="J8" s="136"/>
      <c r="K8" s="137"/>
      <c r="L8" s="136"/>
      <c r="M8" s="138"/>
    </row>
    <row r="9" spans="1:13" s="4" customFormat="1" ht="35.1" customHeight="1" x14ac:dyDescent="0.3">
      <c r="A9" s="13">
        <v>1</v>
      </c>
      <c r="B9" s="14" t="s">
        <v>12</v>
      </c>
      <c r="C9" s="15" t="s">
        <v>471</v>
      </c>
      <c r="D9" s="16" t="s">
        <v>472</v>
      </c>
      <c r="E9" s="17">
        <f>E10</f>
        <v>46.349999999999994</v>
      </c>
      <c r="F9" s="18" t="s">
        <v>13</v>
      </c>
      <c r="G9" s="19"/>
      <c r="H9" s="20">
        <f>E9*G9</f>
        <v>0</v>
      </c>
      <c r="J9" s="139">
        <v>0</v>
      </c>
      <c r="K9" s="145">
        <f t="shared" ref="K9" si="0">E9*J9</f>
        <v>0</v>
      </c>
      <c r="L9" s="139">
        <v>0.48</v>
      </c>
      <c r="M9" s="146">
        <f>E9*L9</f>
        <v>22.247999999999998</v>
      </c>
    </row>
    <row r="10" spans="1:13" s="29" customFormat="1" ht="35.1" customHeight="1" x14ac:dyDescent="0.3">
      <c r="A10" s="21"/>
      <c r="B10" s="22"/>
      <c r="C10" s="23"/>
      <c r="D10" s="24" t="s">
        <v>449</v>
      </c>
      <c r="E10" s="25">
        <f>E43-E42</f>
        <v>46.349999999999994</v>
      </c>
      <c r="F10" s="26" t="s">
        <v>13</v>
      </c>
      <c r="G10" s="27"/>
      <c r="H10" s="20"/>
      <c r="J10" s="140"/>
      <c r="K10" s="145"/>
      <c r="L10" s="140"/>
      <c r="M10" s="149"/>
    </row>
    <row r="11" spans="1:13" s="29" customFormat="1" ht="35.1" customHeight="1" x14ac:dyDescent="0.3">
      <c r="A11" s="21"/>
      <c r="B11" s="22"/>
      <c r="C11" s="23"/>
      <c r="D11" s="24"/>
      <c r="E11" s="25"/>
      <c r="F11" s="26"/>
      <c r="G11" s="27"/>
      <c r="H11" s="20"/>
      <c r="J11" s="140"/>
      <c r="K11" s="145"/>
      <c r="L11" s="140"/>
      <c r="M11" s="149"/>
    </row>
    <row r="12" spans="1:13" s="4" customFormat="1" ht="35.1" customHeight="1" x14ac:dyDescent="0.3">
      <c r="A12" s="13">
        <v>2</v>
      </c>
      <c r="B12" s="14" t="s">
        <v>12</v>
      </c>
      <c r="C12" s="15" t="s">
        <v>473</v>
      </c>
      <c r="D12" s="16" t="s">
        <v>448</v>
      </c>
      <c r="E12" s="17">
        <f>E17</f>
        <v>67.55</v>
      </c>
      <c r="F12" s="18" t="s">
        <v>13</v>
      </c>
      <c r="G12" s="19"/>
      <c r="H12" s="20">
        <f t="shared" ref="H12:H72" si="1">E12*G12</f>
        <v>0</v>
      </c>
      <c r="J12" s="139">
        <v>0</v>
      </c>
      <c r="K12" s="145">
        <f t="shared" ref="K12" si="2">E12*J12</f>
        <v>0</v>
      </c>
      <c r="L12" s="139">
        <v>0.44</v>
      </c>
      <c r="M12" s="146">
        <f>E12*L12</f>
        <v>29.721999999999998</v>
      </c>
    </row>
    <row r="13" spans="1:13" s="29" customFormat="1" ht="35.1" customHeight="1" x14ac:dyDescent="0.3">
      <c r="A13" s="21"/>
      <c r="B13" s="22"/>
      <c r="C13" s="23"/>
      <c r="D13" s="24"/>
      <c r="E13" s="25"/>
      <c r="F13" s="26"/>
      <c r="G13" s="27"/>
      <c r="H13" s="20"/>
      <c r="J13" s="140"/>
      <c r="K13" s="145"/>
      <c r="L13" s="140"/>
      <c r="M13" s="149"/>
    </row>
    <row r="14" spans="1:13" s="29" customFormat="1" ht="35.1" customHeight="1" x14ac:dyDescent="0.3">
      <c r="A14" s="21"/>
      <c r="B14" s="22"/>
      <c r="C14" s="23"/>
      <c r="D14" s="24" t="s">
        <v>219</v>
      </c>
      <c r="E14" s="25">
        <f>E24</f>
        <v>51.55</v>
      </c>
      <c r="F14" s="26" t="s">
        <v>13</v>
      </c>
      <c r="G14" s="27"/>
      <c r="H14" s="20"/>
      <c r="J14" s="140"/>
      <c r="K14" s="145"/>
      <c r="L14" s="140"/>
      <c r="M14" s="149"/>
    </row>
    <row r="15" spans="1:13" s="29" customFormat="1" ht="35.1" customHeight="1" x14ac:dyDescent="0.3">
      <c r="A15" s="21"/>
      <c r="B15" s="22"/>
      <c r="C15" s="23"/>
      <c r="D15" s="24" t="s">
        <v>415</v>
      </c>
      <c r="E15" s="25">
        <f>4*1*2</f>
        <v>8</v>
      </c>
      <c r="F15" s="26" t="s">
        <v>13</v>
      </c>
      <c r="G15" s="27"/>
      <c r="H15" s="20"/>
      <c r="J15" s="140"/>
      <c r="K15" s="145"/>
      <c r="L15" s="140"/>
      <c r="M15" s="149"/>
    </row>
    <row r="16" spans="1:13" s="29" customFormat="1" ht="35.1" customHeight="1" x14ac:dyDescent="0.3">
      <c r="A16" s="21"/>
      <c r="B16" s="22"/>
      <c r="C16" s="23"/>
      <c r="D16" s="24" t="s">
        <v>416</v>
      </c>
      <c r="E16" s="25">
        <f>4*1*2</f>
        <v>8</v>
      </c>
      <c r="F16" s="26" t="s">
        <v>13</v>
      </c>
      <c r="G16" s="27"/>
      <c r="H16" s="20"/>
      <c r="J16" s="140"/>
      <c r="K16" s="145"/>
      <c r="L16" s="140"/>
      <c r="M16" s="149"/>
    </row>
    <row r="17" spans="1:13" s="29" customFormat="1" ht="35.1" customHeight="1" x14ac:dyDescent="0.3">
      <c r="A17" s="21"/>
      <c r="B17" s="22"/>
      <c r="C17" s="23"/>
      <c r="D17" s="121" t="s">
        <v>18</v>
      </c>
      <c r="E17" s="122">
        <f>SUM(E14:E16)</f>
        <v>67.55</v>
      </c>
      <c r="F17" s="123" t="s">
        <v>13</v>
      </c>
      <c r="G17" s="27"/>
      <c r="H17" s="20"/>
      <c r="J17" s="140"/>
      <c r="K17" s="145"/>
      <c r="L17" s="140"/>
      <c r="M17" s="149"/>
    </row>
    <row r="18" spans="1:13" s="29" customFormat="1" ht="35.1" customHeight="1" x14ac:dyDescent="0.3">
      <c r="A18" s="21"/>
      <c r="B18" s="22"/>
      <c r="C18" s="23"/>
      <c r="D18" s="24"/>
      <c r="E18" s="25"/>
      <c r="F18" s="26"/>
      <c r="G18" s="27"/>
      <c r="H18" s="20"/>
      <c r="J18" s="140"/>
      <c r="K18" s="145"/>
      <c r="L18" s="140"/>
      <c r="M18" s="149"/>
    </row>
    <row r="19" spans="1:13" s="4" customFormat="1" ht="35.1" customHeight="1" x14ac:dyDescent="0.3">
      <c r="A19" s="13">
        <v>3</v>
      </c>
      <c r="B19" s="14" t="s">
        <v>12</v>
      </c>
      <c r="C19" s="15" t="s">
        <v>474</v>
      </c>
      <c r="D19" s="16" t="s">
        <v>475</v>
      </c>
      <c r="E19" s="65">
        <f>E22</f>
        <v>5.2</v>
      </c>
      <c r="F19" s="74" t="s">
        <v>13</v>
      </c>
      <c r="G19" s="19"/>
      <c r="H19" s="20">
        <f t="shared" si="1"/>
        <v>0</v>
      </c>
      <c r="J19" s="87"/>
      <c r="K19" s="145">
        <f t="shared" ref="K19:K72" si="3">E19*J19</f>
        <v>0</v>
      </c>
      <c r="L19" s="87">
        <v>0.22</v>
      </c>
      <c r="M19" s="162"/>
    </row>
    <row r="20" spans="1:13" s="4" customFormat="1" ht="35.1" customHeight="1" x14ac:dyDescent="0.3">
      <c r="A20" s="13"/>
      <c r="B20" s="14"/>
      <c r="C20" s="15"/>
      <c r="D20" s="24" t="s">
        <v>609</v>
      </c>
      <c r="E20" s="25">
        <f>1*(3.6-1.5)</f>
        <v>2.1</v>
      </c>
      <c r="F20" s="26" t="s">
        <v>13</v>
      </c>
      <c r="G20" s="19"/>
      <c r="H20" s="20"/>
      <c r="J20" s="87"/>
      <c r="K20" s="145"/>
      <c r="L20" s="87"/>
      <c r="M20" s="162"/>
    </row>
    <row r="21" spans="1:13" s="4" customFormat="1" ht="35.1" customHeight="1" x14ac:dyDescent="0.3">
      <c r="A21" s="13"/>
      <c r="B21" s="14"/>
      <c r="C21" s="15"/>
      <c r="D21" s="90" t="s">
        <v>610</v>
      </c>
      <c r="E21" s="91">
        <f>1*(3.6-0.5)</f>
        <v>3.1</v>
      </c>
      <c r="F21" s="92" t="s">
        <v>13</v>
      </c>
      <c r="G21" s="19"/>
      <c r="H21" s="20"/>
      <c r="J21" s="87"/>
      <c r="K21" s="145"/>
      <c r="L21" s="87"/>
      <c r="M21" s="162"/>
    </row>
    <row r="22" spans="1:13" s="4" customFormat="1" ht="35.1" customHeight="1" x14ac:dyDescent="0.3">
      <c r="A22" s="13"/>
      <c r="B22" s="14"/>
      <c r="C22" s="15"/>
      <c r="D22" s="248" t="s">
        <v>18</v>
      </c>
      <c r="E22" s="249">
        <f>SUM(E20:E21)</f>
        <v>5.2</v>
      </c>
      <c r="F22" s="250" t="s">
        <v>13</v>
      </c>
      <c r="G22" s="19"/>
      <c r="H22" s="20"/>
      <c r="J22" s="87"/>
      <c r="K22" s="145"/>
      <c r="L22" s="87"/>
      <c r="M22" s="162"/>
    </row>
    <row r="23" spans="1:13" s="4" customFormat="1" ht="35.1" customHeight="1" x14ac:dyDescent="0.3">
      <c r="A23" s="13"/>
      <c r="B23" s="14"/>
      <c r="C23" s="15"/>
      <c r="D23" s="24"/>
      <c r="E23" s="25"/>
      <c r="F23" s="26"/>
      <c r="G23" s="19"/>
      <c r="H23" s="20"/>
      <c r="J23" s="87"/>
      <c r="K23" s="145"/>
      <c r="L23" s="87"/>
      <c r="M23" s="162"/>
    </row>
    <row r="24" spans="1:13" s="4" customFormat="1" ht="35.1" customHeight="1" x14ac:dyDescent="0.3">
      <c r="A24" s="13">
        <v>4</v>
      </c>
      <c r="B24" s="14" t="s">
        <v>12</v>
      </c>
      <c r="C24" s="15" t="s">
        <v>476</v>
      </c>
      <c r="D24" s="16" t="s">
        <v>477</v>
      </c>
      <c r="E24" s="65">
        <f>E43</f>
        <v>51.55</v>
      </c>
      <c r="F24" s="74" t="s">
        <v>13</v>
      </c>
      <c r="G24" s="19"/>
      <c r="H24" s="20">
        <f t="shared" si="1"/>
        <v>0</v>
      </c>
      <c r="J24" s="87"/>
      <c r="K24" s="145">
        <f t="shared" si="3"/>
        <v>0</v>
      </c>
      <c r="L24" s="87">
        <f>0.22/2*3</f>
        <v>0.33</v>
      </c>
      <c r="M24" s="162">
        <f>E24*L24</f>
        <v>17.011500000000002</v>
      </c>
    </row>
    <row r="25" spans="1:13" s="29" customFormat="1" ht="35.1" customHeight="1" x14ac:dyDescent="0.3">
      <c r="A25" s="21"/>
      <c r="B25" s="22"/>
      <c r="C25" s="23"/>
      <c r="D25" s="24" t="s">
        <v>231</v>
      </c>
      <c r="E25" s="25">
        <f>1.1*10</f>
        <v>11</v>
      </c>
      <c r="F25" s="26" t="s">
        <v>13</v>
      </c>
      <c r="G25" s="27"/>
      <c r="H25" s="20"/>
      <c r="J25" s="140"/>
      <c r="K25" s="145"/>
      <c r="L25" s="140"/>
      <c r="M25" s="149"/>
    </row>
    <row r="26" spans="1:13" s="29" customFormat="1" ht="35.1" customHeight="1" x14ac:dyDescent="0.3">
      <c r="A26" s="21"/>
      <c r="B26" s="22"/>
      <c r="C26" s="23"/>
      <c r="D26" s="24" t="s">
        <v>232</v>
      </c>
      <c r="E26" s="25">
        <f>1.1*(1.5+3)</f>
        <v>4.95</v>
      </c>
      <c r="F26" s="26" t="s">
        <v>13</v>
      </c>
      <c r="G26" s="27"/>
      <c r="H26" s="20"/>
      <c r="J26" s="140"/>
      <c r="K26" s="145"/>
      <c r="L26" s="140"/>
      <c r="M26" s="149"/>
    </row>
    <row r="27" spans="1:13" s="29" customFormat="1" ht="35.1" customHeight="1" x14ac:dyDescent="0.3">
      <c r="A27" s="21"/>
      <c r="B27" s="22"/>
      <c r="C27" s="23"/>
      <c r="D27" s="121" t="s">
        <v>309</v>
      </c>
      <c r="E27" s="122">
        <f>SUM(E25:E26)</f>
        <v>15.95</v>
      </c>
      <c r="F27" s="123" t="s">
        <v>13</v>
      </c>
      <c r="G27" s="27"/>
      <c r="H27" s="20"/>
      <c r="J27" s="140"/>
      <c r="K27" s="145"/>
      <c r="L27" s="140"/>
      <c r="M27" s="149"/>
    </row>
    <row r="28" spans="1:13" s="29" customFormat="1" ht="35.1" customHeight="1" x14ac:dyDescent="0.3">
      <c r="A28" s="21"/>
      <c r="B28" s="22"/>
      <c r="C28" s="23"/>
      <c r="D28" s="24"/>
      <c r="E28" s="25"/>
      <c r="F28" s="26"/>
      <c r="G28" s="27"/>
      <c r="H28" s="20"/>
      <c r="J28" s="140"/>
      <c r="K28" s="145"/>
      <c r="L28" s="140"/>
      <c r="M28" s="149"/>
    </row>
    <row r="29" spans="1:13" s="29" customFormat="1" ht="35.1" customHeight="1" x14ac:dyDescent="0.3">
      <c r="A29" s="21"/>
      <c r="B29" s="22"/>
      <c r="C29" s="23"/>
      <c r="D29" s="24" t="s">
        <v>233</v>
      </c>
      <c r="E29" s="25">
        <f>0.7*5</f>
        <v>3.5</v>
      </c>
      <c r="F29" s="26" t="s">
        <v>13</v>
      </c>
      <c r="G29" s="27"/>
      <c r="H29" s="20"/>
      <c r="J29" s="140"/>
      <c r="K29" s="145"/>
      <c r="L29" s="140"/>
      <c r="M29" s="149"/>
    </row>
    <row r="30" spans="1:13" s="29" customFormat="1" ht="35.1" customHeight="1" x14ac:dyDescent="0.3">
      <c r="A30" s="21"/>
      <c r="B30" s="22"/>
      <c r="C30" s="23"/>
      <c r="D30" s="24" t="s">
        <v>236</v>
      </c>
      <c r="E30" s="25">
        <f>0.7*5</f>
        <v>3.5</v>
      </c>
      <c r="F30" s="26" t="s">
        <v>13</v>
      </c>
      <c r="G30" s="27"/>
      <c r="H30" s="20"/>
      <c r="J30" s="140"/>
      <c r="K30" s="145"/>
      <c r="L30" s="140"/>
      <c r="M30" s="149"/>
    </row>
    <row r="31" spans="1:13" s="29" customFormat="1" ht="35.1" customHeight="1" x14ac:dyDescent="0.3">
      <c r="A31" s="21"/>
      <c r="B31" s="22"/>
      <c r="C31" s="23"/>
      <c r="D31" s="24" t="s">
        <v>310</v>
      </c>
      <c r="E31" s="25">
        <f>0.7*2</f>
        <v>1.4</v>
      </c>
      <c r="F31" s="26" t="s">
        <v>13</v>
      </c>
      <c r="G31" s="27"/>
      <c r="H31" s="20"/>
      <c r="J31" s="140"/>
      <c r="K31" s="145"/>
      <c r="L31" s="140"/>
      <c r="M31" s="149"/>
    </row>
    <row r="32" spans="1:13" s="29" customFormat="1" ht="35.1" customHeight="1" x14ac:dyDescent="0.3">
      <c r="A32" s="21"/>
      <c r="B32" s="22"/>
      <c r="C32" s="23"/>
      <c r="D32" s="24" t="s">
        <v>311</v>
      </c>
      <c r="E32" s="25">
        <f>0.7*5</f>
        <v>3.5</v>
      </c>
      <c r="F32" s="26" t="s">
        <v>13</v>
      </c>
      <c r="G32" s="27"/>
      <c r="H32" s="20"/>
      <c r="J32" s="140"/>
      <c r="K32" s="145"/>
      <c r="L32" s="140"/>
      <c r="M32" s="149"/>
    </row>
    <row r="33" spans="1:13" s="110" customFormat="1" ht="35.1" customHeight="1" x14ac:dyDescent="0.3">
      <c r="A33" s="103"/>
      <c r="B33" s="104"/>
      <c r="C33" s="105"/>
      <c r="D33" s="121" t="s">
        <v>220</v>
      </c>
      <c r="E33" s="122">
        <f>SUM(E29:E32)</f>
        <v>11.9</v>
      </c>
      <c r="F33" s="123" t="s">
        <v>13</v>
      </c>
      <c r="G33" s="109"/>
      <c r="H33" s="20"/>
      <c r="J33" s="144"/>
      <c r="K33" s="145"/>
      <c r="L33" s="144"/>
      <c r="M33" s="149"/>
    </row>
    <row r="34" spans="1:13" s="29" customFormat="1" ht="35.1" customHeight="1" x14ac:dyDescent="0.3">
      <c r="A34" s="21"/>
      <c r="B34" s="22"/>
      <c r="C34" s="23"/>
      <c r="D34" s="24"/>
      <c r="E34" s="25"/>
      <c r="F34" s="26"/>
      <c r="G34" s="27"/>
      <c r="H34" s="20"/>
      <c r="J34" s="140"/>
      <c r="K34" s="145"/>
      <c r="L34" s="140"/>
      <c r="M34" s="149"/>
    </row>
    <row r="35" spans="1:13" s="29" customFormat="1" ht="35.1" customHeight="1" x14ac:dyDescent="0.3">
      <c r="A35" s="21"/>
      <c r="B35" s="22"/>
      <c r="C35" s="23"/>
      <c r="D35" s="24" t="s">
        <v>296</v>
      </c>
      <c r="E35" s="25"/>
      <c r="F35" s="26"/>
      <c r="G35" s="27"/>
      <c r="H35" s="20"/>
      <c r="J35" s="140"/>
      <c r="K35" s="145"/>
      <c r="L35" s="140"/>
      <c r="M35" s="149"/>
    </row>
    <row r="36" spans="1:13" s="29" customFormat="1" ht="35.1" customHeight="1" x14ac:dyDescent="0.3">
      <c r="A36" s="21"/>
      <c r="B36" s="22"/>
      <c r="C36" s="23"/>
      <c r="D36" s="24" t="s">
        <v>298</v>
      </c>
      <c r="E36" s="25">
        <f>2.5*4.5</f>
        <v>11.25</v>
      </c>
      <c r="F36" s="26" t="s">
        <v>13</v>
      </c>
      <c r="G36" s="27"/>
      <c r="H36" s="20"/>
      <c r="J36" s="140"/>
      <c r="K36" s="145"/>
      <c r="L36" s="140"/>
      <c r="M36" s="149"/>
    </row>
    <row r="37" spans="1:13" s="29" customFormat="1" ht="35.1" customHeight="1" x14ac:dyDescent="0.3">
      <c r="A37" s="21"/>
      <c r="B37" s="22"/>
      <c r="C37" s="23"/>
      <c r="D37" s="24" t="s">
        <v>308</v>
      </c>
      <c r="E37" s="25">
        <f>2*1</f>
        <v>2</v>
      </c>
      <c r="F37" s="26" t="s">
        <v>13</v>
      </c>
      <c r="G37" s="27"/>
      <c r="H37" s="20"/>
      <c r="J37" s="140"/>
      <c r="K37" s="145"/>
      <c r="L37" s="140"/>
      <c r="M37" s="149"/>
    </row>
    <row r="38" spans="1:13" s="29" customFormat="1" ht="35.1" customHeight="1" x14ac:dyDescent="0.3">
      <c r="A38" s="21"/>
      <c r="B38" s="22"/>
      <c r="C38" s="23"/>
      <c r="D38" s="24" t="s">
        <v>417</v>
      </c>
      <c r="E38" s="25">
        <f>1.5*1.5</f>
        <v>2.25</v>
      </c>
      <c r="F38" s="26" t="s">
        <v>13</v>
      </c>
      <c r="G38" s="27"/>
      <c r="H38" s="20"/>
      <c r="J38" s="140"/>
      <c r="K38" s="145"/>
      <c r="L38" s="140"/>
      <c r="M38" s="149"/>
    </row>
    <row r="39" spans="1:13" s="29" customFormat="1" ht="35.1" customHeight="1" x14ac:dyDescent="0.3">
      <c r="A39" s="21"/>
      <c r="B39" s="22"/>
      <c r="C39" s="23"/>
      <c r="D39" s="24" t="s">
        <v>312</v>
      </c>
      <c r="E39" s="25">
        <f>2*1*1</f>
        <v>2</v>
      </c>
      <c r="F39" s="26" t="s">
        <v>13</v>
      </c>
      <c r="G39" s="27"/>
      <c r="H39" s="20"/>
      <c r="J39" s="140"/>
      <c r="K39" s="145"/>
      <c r="L39" s="140"/>
      <c r="M39" s="149"/>
    </row>
    <row r="40" spans="1:13" s="29" customFormat="1" ht="35.1" customHeight="1" x14ac:dyDescent="0.3">
      <c r="A40" s="21"/>
      <c r="B40" s="22"/>
      <c r="C40" s="23"/>
      <c r="D40" s="24" t="s">
        <v>313</v>
      </c>
      <c r="E40" s="25">
        <f>1*1</f>
        <v>1</v>
      </c>
      <c r="F40" s="26" t="s">
        <v>13</v>
      </c>
      <c r="G40" s="27"/>
      <c r="H40" s="20"/>
      <c r="J40" s="140"/>
      <c r="K40" s="145"/>
      <c r="L40" s="140"/>
      <c r="M40" s="149"/>
    </row>
    <row r="41" spans="1:13" s="110" customFormat="1" ht="35.1" customHeight="1" x14ac:dyDescent="0.3">
      <c r="A41" s="103"/>
      <c r="B41" s="104"/>
      <c r="C41" s="105"/>
      <c r="D41" s="121" t="s">
        <v>245</v>
      </c>
      <c r="E41" s="122">
        <f>SUM(E36:E40)</f>
        <v>18.5</v>
      </c>
      <c r="F41" s="123" t="s">
        <v>13</v>
      </c>
      <c r="G41" s="109"/>
      <c r="H41" s="20"/>
      <c r="J41" s="144"/>
      <c r="K41" s="145"/>
      <c r="L41" s="144"/>
      <c r="M41" s="149"/>
    </row>
    <row r="42" spans="1:13" s="110" customFormat="1" ht="35.1" customHeight="1" x14ac:dyDescent="0.3">
      <c r="A42" s="103"/>
      <c r="B42" s="104"/>
      <c r="C42" s="105"/>
      <c r="D42" s="121" t="s">
        <v>314</v>
      </c>
      <c r="E42" s="122">
        <f>1*(2*3.6-1.5-0.5)</f>
        <v>5.2</v>
      </c>
      <c r="F42" s="123" t="s">
        <v>13</v>
      </c>
      <c r="G42" s="109"/>
      <c r="H42" s="20"/>
      <c r="J42" s="144"/>
      <c r="K42" s="145"/>
      <c r="L42" s="144"/>
      <c r="M42" s="149"/>
    </row>
    <row r="43" spans="1:13" s="110" customFormat="1" ht="35.1" customHeight="1" x14ac:dyDescent="0.3">
      <c r="A43" s="103"/>
      <c r="B43" s="104"/>
      <c r="C43" s="105"/>
      <c r="D43" s="121" t="s">
        <v>18</v>
      </c>
      <c r="E43" s="122">
        <f>E42+E41+E33+E27</f>
        <v>51.55</v>
      </c>
      <c r="F43" s="123" t="s">
        <v>13</v>
      </c>
      <c r="G43" s="109"/>
      <c r="H43" s="20"/>
      <c r="J43" s="144"/>
      <c r="K43" s="145"/>
      <c r="L43" s="144"/>
      <c r="M43" s="149"/>
    </row>
    <row r="44" spans="1:13" s="29" customFormat="1" ht="35.1" customHeight="1" x14ac:dyDescent="0.3">
      <c r="A44" s="21"/>
      <c r="B44" s="22"/>
      <c r="C44" s="23"/>
      <c r="D44" s="24"/>
      <c r="E44" s="25"/>
      <c r="F44" s="26"/>
      <c r="G44" s="27"/>
      <c r="H44" s="20"/>
      <c r="J44" s="140"/>
      <c r="K44" s="145"/>
      <c r="L44" s="140"/>
      <c r="M44" s="149"/>
    </row>
    <row r="45" spans="1:13" s="4" customFormat="1" ht="35.1" customHeight="1" x14ac:dyDescent="0.3">
      <c r="A45" s="13">
        <v>5</v>
      </c>
      <c r="B45" s="14" t="s">
        <v>12</v>
      </c>
      <c r="C45" s="15" t="s">
        <v>15</v>
      </c>
      <c r="D45" s="16" t="s">
        <v>16</v>
      </c>
      <c r="E45" s="17">
        <f>E70</f>
        <v>352.01625000000001</v>
      </c>
      <c r="F45" s="18" t="s">
        <v>17</v>
      </c>
      <c r="G45" s="19"/>
      <c r="H45" s="20">
        <f t="shared" si="1"/>
        <v>0</v>
      </c>
      <c r="J45" s="139">
        <v>0</v>
      </c>
      <c r="K45" s="145">
        <f t="shared" si="3"/>
        <v>0</v>
      </c>
      <c r="L45" s="139">
        <v>0</v>
      </c>
      <c r="M45" s="146" t="e">
        <f>L45*#REF!</f>
        <v>#REF!</v>
      </c>
    </row>
    <row r="46" spans="1:13" s="29" customFormat="1" ht="35.1" customHeight="1" x14ac:dyDescent="0.3">
      <c r="A46" s="21"/>
      <c r="B46" s="22"/>
      <c r="C46" s="23"/>
      <c r="D46" s="24" t="s">
        <v>228</v>
      </c>
      <c r="E46" s="25"/>
      <c r="F46" s="26"/>
      <c r="G46" s="27"/>
      <c r="H46" s="20"/>
      <c r="J46" s="140"/>
      <c r="K46" s="145"/>
      <c r="L46" s="140"/>
      <c r="M46" s="149"/>
    </row>
    <row r="47" spans="1:13" s="29" customFormat="1" ht="35.1" customHeight="1" x14ac:dyDescent="0.3">
      <c r="A47" s="21"/>
      <c r="B47" s="22"/>
      <c r="C47" s="23"/>
      <c r="D47" s="24" t="s">
        <v>222</v>
      </c>
      <c r="E47" s="25"/>
      <c r="F47" s="26"/>
      <c r="G47" s="27"/>
      <c r="H47" s="20"/>
      <c r="J47" s="140"/>
      <c r="K47" s="145"/>
      <c r="L47" s="140"/>
      <c r="M47" s="149"/>
    </row>
    <row r="48" spans="1:13" s="29" customFormat="1" ht="35.1" customHeight="1" x14ac:dyDescent="0.3">
      <c r="A48" s="21"/>
      <c r="B48" s="22"/>
      <c r="C48" s="23"/>
      <c r="D48" s="24" t="s">
        <v>428</v>
      </c>
      <c r="E48" s="25">
        <f>(1.75-0.55)*1.1*(1.5+3)</f>
        <v>5.94</v>
      </c>
      <c r="F48" s="26" t="s">
        <v>17</v>
      </c>
      <c r="G48" s="27"/>
      <c r="H48" s="20"/>
      <c r="J48" s="140"/>
      <c r="K48" s="145"/>
      <c r="L48" s="140"/>
      <c r="M48" s="149"/>
    </row>
    <row r="49" spans="1:13" s="29" customFormat="1" ht="35.1" customHeight="1" x14ac:dyDescent="0.3">
      <c r="A49" s="21"/>
      <c r="B49" s="22"/>
      <c r="C49" s="23"/>
      <c r="D49" s="24" t="s">
        <v>234</v>
      </c>
      <c r="E49" s="25">
        <f>(1.75+2.4)/2*1.1*(60-1.5)</f>
        <v>133.52625</v>
      </c>
      <c r="F49" s="26" t="s">
        <v>17</v>
      </c>
      <c r="G49" s="27"/>
      <c r="H49" s="20"/>
      <c r="J49" s="140"/>
      <c r="K49" s="145"/>
      <c r="L49" s="140"/>
      <c r="M49" s="149"/>
    </row>
    <row r="50" spans="1:13" s="29" customFormat="1" ht="35.1" customHeight="1" x14ac:dyDescent="0.3">
      <c r="A50" s="21"/>
      <c r="B50" s="22"/>
      <c r="C50" s="23"/>
      <c r="D50" s="24" t="s">
        <v>235</v>
      </c>
      <c r="E50" s="25">
        <f>2.4*1.1*1.5</f>
        <v>3.96</v>
      </c>
      <c r="F50" s="26" t="s">
        <v>17</v>
      </c>
      <c r="G50" s="27"/>
      <c r="H50" s="20"/>
      <c r="J50" s="140"/>
      <c r="K50" s="145"/>
      <c r="L50" s="140"/>
      <c r="M50" s="149"/>
    </row>
    <row r="51" spans="1:13" s="29" customFormat="1" ht="35.1" customHeight="1" x14ac:dyDescent="0.3">
      <c r="A51" s="21"/>
      <c r="B51" s="22"/>
      <c r="C51" s="23"/>
      <c r="D51" s="24" t="s">
        <v>331</v>
      </c>
      <c r="E51" s="25">
        <f>1.75*1.1*9</f>
        <v>17.325000000000003</v>
      </c>
      <c r="F51" s="26" t="s">
        <v>17</v>
      </c>
      <c r="G51" s="27"/>
      <c r="H51" s="20"/>
      <c r="J51" s="140"/>
      <c r="K51" s="145"/>
      <c r="L51" s="140"/>
      <c r="M51" s="149"/>
    </row>
    <row r="52" spans="1:13" s="29" customFormat="1" ht="35.1" customHeight="1" x14ac:dyDescent="0.3">
      <c r="A52" s="21"/>
      <c r="B52" s="22"/>
      <c r="C52" s="23"/>
      <c r="D52" s="24" t="s">
        <v>429</v>
      </c>
      <c r="E52" s="25">
        <f>(1.75-0.55)*1.1*10</f>
        <v>13.200000000000001</v>
      </c>
      <c r="F52" s="26" t="s">
        <v>17</v>
      </c>
      <c r="G52" s="27"/>
      <c r="H52" s="20"/>
      <c r="J52" s="140"/>
      <c r="K52" s="145"/>
      <c r="L52" s="140"/>
      <c r="M52" s="149"/>
    </row>
    <row r="53" spans="1:13" s="29" customFormat="1" ht="35.1" customHeight="1" x14ac:dyDescent="0.3">
      <c r="A53" s="21"/>
      <c r="B53" s="22"/>
      <c r="C53" s="23"/>
      <c r="D53" s="24" t="s">
        <v>315</v>
      </c>
      <c r="E53" s="25"/>
      <c r="F53" s="26"/>
      <c r="G53" s="27"/>
      <c r="H53" s="20"/>
      <c r="J53" s="140"/>
      <c r="K53" s="145"/>
      <c r="L53" s="140"/>
      <c r="M53" s="149"/>
    </row>
    <row r="54" spans="1:13" s="29" customFormat="1" ht="35.1" customHeight="1" x14ac:dyDescent="0.3">
      <c r="A54" s="21"/>
      <c r="B54" s="22"/>
      <c r="C54" s="23"/>
      <c r="D54" s="24" t="s">
        <v>413</v>
      </c>
      <c r="E54" s="25">
        <f>(1.5+2.1)/2*1*(4.3+4.7+4.4+4-4*1.5)</f>
        <v>20.52</v>
      </c>
      <c r="F54" s="26" t="s">
        <v>17</v>
      </c>
      <c r="G54" s="27"/>
      <c r="H54" s="20"/>
      <c r="J54" s="140"/>
      <c r="K54" s="145"/>
      <c r="L54" s="140"/>
      <c r="M54" s="149"/>
    </row>
    <row r="55" spans="1:13" s="29" customFormat="1" ht="35.1" customHeight="1" x14ac:dyDescent="0.3">
      <c r="A55" s="21"/>
      <c r="B55" s="22"/>
      <c r="C55" s="23"/>
      <c r="D55" s="24" t="s">
        <v>414</v>
      </c>
      <c r="E55" s="25">
        <f>5*(1.5-0.3+2.1-0.3)/2*1*2</f>
        <v>15</v>
      </c>
      <c r="F55" s="26" t="s">
        <v>17</v>
      </c>
      <c r="G55" s="27"/>
      <c r="H55" s="20"/>
      <c r="J55" s="140"/>
      <c r="K55" s="145"/>
      <c r="L55" s="140"/>
      <c r="M55" s="149"/>
    </row>
    <row r="56" spans="1:13" s="29" customFormat="1" ht="35.1" customHeight="1" x14ac:dyDescent="0.3">
      <c r="A56" s="21"/>
      <c r="B56" s="22"/>
      <c r="C56" s="23"/>
      <c r="D56" s="24" t="s">
        <v>430</v>
      </c>
      <c r="E56" s="25">
        <f>(1.3-0.3+2.1-0.3)/2*1*(3.6-1.5)</f>
        <v>2.9400000000000004</v>
      </c>
      <c r="F56" s="26" t="s">
        <v>17</v>
      </c>
      <c r="G56" s="27"/>
      <c r="H56" s="20"/>
      <c r="J56" s="140"/>
      <c r="K56" s="145"/>
      <c r="L56" s="140"/>
      <c r="M56" s="149"/>
    </row>
    <row r="57" spans="1:13" s="29" customFormat="1" ht="35.1" customHeight="1" x14ac:dyDescent="0.3">
      <c r="A57" s="21"/>
      <c r="B57" s="22"/>
      <c r="C57" s="23"/>
      <c r="D57" s="24" t="s">
        <v>408</v>
      </c>
      <c r="E57" s="25">
        <f>(2.1-0.5)*1*2</f>
        <v>3.2</v>
      </c>
      <c r="F57" s="26" t="s">
        <v>17</v>
      </c>
      <c r="G57" s="27"/>
      <c r="H57" s="20"/>
      <c r="J57" s="140"/>
      <c r="K57" s="145"/>
      <c r="L57" s="140"/>
      <c r="M57" s="149"/>
    </row>
    <row r="58" spans="1:13" s="110" customFormat="1" ht="35.1" customHeight="1" x14ac:dyDescent="0.3">
      <c r="A58" s="103"/>
      <c r="B58" s="104"/>
      <c r="C58" s="105"/>
      <c r="D58" s="121" t="s">
        <v>221</v>
      </c>
      <c r="E58" s="122">
        <f>SUM(E48:E57)</f>
        <v>215.61125000000001</v>
      </c>
      <c r="F58" s="123" t="s">
        <v>17</v>
      </c>
      <c r="G58" s="109"/>
      <c r="H58" s="20"/>
      <c r="J58" s="144"/>
      <c r="K58" s="145"/>
      <c r="L58" s="144"/>
      <c r="M58" s="149"/>
    </row>
    <row r="59" spans="1:13" s="29" customFormat="1" ht="35.1" customHeight="1" x14ac:dyDescent="0.3">
      <c r="A59" s="21"/>
      <c r="B59" s="22"/>
      <c r="C59" s="23"/>
      <c r="D59" s="24"/>
      <c r="E59" s="25"/>
      <c r="F59" s="26"/>
      <c r="G59" s="27"/>
      <c r="H59" s="20"/>
      <c r="J59" s="140"/>
      <c r="K59" s="145"/>
      <c r="L59" s="140"/>
      <c r="M59" s="149"/>
    </row>
    <row r="60" spans="1:13" s="29" customFormat="1" ht="35.1" customHeight="1" x14ac:dyDescent="0.3">
      <c r="A60" s="21"/>
      <c r="B60" s="22"/>
      <c r="C60" s="23"/>
      <c r="D60" s="24" t="s">
        <v>237</v>
      </c>
      <c r="E60" s="25"/>
      <c r="F60" s="26"/>
      <c r="G60" s="27"/>
      <c r="H60" s="20"/>
      <c r="J60" s="140"/>
      <c r="K60" s="145"/>
      <c r="L60" s="140"/>
      <c r="M60" s="149"/>
    </row>
    <row r="61" spans="1:13" s="29" customFormat="1" ht="35.1" customHeight="1" x14ac:dyDescent="0.3">
      <c r="A61" s="21"/>
      <c r="B61" s="22"/>
      <c r="C61" s="23"/>
      <c r="D61" s="24" t="s">
        <v>238</v>
      </c>
      <c r="E61" s="25">
        <f>1.7*0.7*75</f>
        <v>89.25</v>
      </c>
      <c r="F61" s="26" t="s">
        <v>17</v>
      </c>
      <c r="G61" s="27"/>
      <c r="H61" s="20"/>
      <c r="J61" s="140"/>
      <c r="K61" s="145"/>
      <c r="L61" s="140"/>
      <c r="M61" s="149"/>
    </row>
    <row r="62" spans="1:13" s="29" customFormat="1" ht="35.1" customHeight="1" x14ac:dyDescent="0.3">
      <c r="A62" s="21"/>
      <c r="B62" s="22"/>
      <c r="C62" s="23"/>
      <c r="D62" s="24" t="s">
        <v>431</v>
      </c>
      <c r="E62" s="25">
        <f>(1.7-0.55)*0.7*(5+5)</f>
        <v>8.0499999999999989</v>
      </c>
      <c r="F62" s="26" t="s">
        <v>17</v>
      </c>
      <c r="G62" s="27"/>
      <c r="H62" s="20"/>
      <c r="J62" s="140"/>
      <c r="K62" s="145"/>
      <c r="L62" s="140"/>
      <c r="M62" s="149"/>
    </row>
    <row r="63" spans="1:13" s="29" customFormat="1" ht="35.1" customHeight="1" x14ac:dyDescent="0.3">
      <c r="A63" s="21"/>
      <c r="B63" s="22"/>
      <c r="C63" s="23"/>
      <c r="D63" s="24" t="s">
        <v>432</v>
      </c>
      <c r="E63" s="25">
        <f>(1.7-0.55)*0.7*2</f>
        <v>1.6099999999999999</v>
      </c>
      <c r="F63" s="26" t="s">
        <v>17</v>
      </c>
      <c r="G63" s="27"/>
      <c r="H63" s="20"/>
      <c r="J63" s="140"/>
      <c r="K63" s="145"/>
      <c r="L63" s="140"/>
      <c r="M63" s="149"/>
    </row>
    <row r="64" spans="1:13" s="29" customFormat="1" ht="35.1" customHeight="1" x14ac:dyDescent="0.3">
      <c r="A64" s="21"/>
      <c r="B64" s="22"/>
      <c r="C64" s="23"/>
      <c r="D64" s="24" t="s">
        <v>433</v>
      </c>
      <c r="E64" s="25">
        <f>(1.7-0.55)*0.7*5</f>
        <v>4.0249999999999995</v>
      </c>
      <c r="F64" s="26" t="s">
        <v>17</v>
      </c>
      <c r="G64" s="27"/>
      <c r="H64" s="20"/>
      <c r="J64" s="140"/>
      <c r="K64" s="145"/>
      <c r="L64" s="140"/>
      <c r="M64" s="149"/>
    </row>
    <row r="65" spans="1:13" s="29" customFormat="1" ht="35.1" customHeight="1" x14ac:dyDescent="0.3">
      <c r="A65" s="21"/>
      <c r="B65" s="22"/>
      <c r="C65" s="23"/>
      <c r="D65" s="24" t="s">
        <v>550</v>
      </c>
      <c r="E65" s="25"/>
      <c r="F65" s="26"/>
      <c r="G65" s="27"/>
      <c r="H65" s="20"/>
      <c r="J65" s="140"/>
      <c r="K65" s="145"/>
      <c r="L65" s="140"/>
      <c r="M65" s="149"/>
    </row>
    <row r="66" spans="1:13" s="35" customFormat="1" ht="35.1" customHeight="1" x14ac:dyDescent="0.3">
      <c r="A66" s="30"/>
      <c r="B66" s="22"/>
      <c r="C66" s="31"/>
      <c r="D66" s="90" t="s">
        <v>549</v>
      </c>
      <c r="E66" s="91">
        <f>(1.5+1.7)/2*1*(4.3+4.7+4.4-3*0.5)</f>
        <v>19.040000000000003</v>
      </c>
      <c r="F66" s="92" t="s">
        <v>17</v>
      </c>
      <c r="G66" s="19"/>
      <c r="H66" s="20"/>
      <c r="J66" s="141"/>
      <c r="K66" s="145"/>
      <c r="L66" s="141"/>
      <c r="M66" s="163"/>
    </row>
    <row r="67" spans="1:13" s="35" customFormat="1" ht="35.1" customHeight="1" x14ac:dyDescent="0.3">
      <c r="A67" s="30"/>
      <c r="B67" s="22"/>
      <c r="C67" s="31"/>
      <c r="D67" s="90" t="s">
        <v>551</v>
      </c>
      <c r="E67" s="91">
        <f>4*(1.5-0.3+1.7-0.3)/2*1*2</f>
        <v>10.4</v>
      </c>
      <c r="F67" s="92" t="s">
        <v>17</v>
      </c>
      <c r="G67" s="19"/>
      <c r="H67" s="20"/>
      <c r="J67" s="141"/>
      <c r="K67" s="145"/>
      <c r="L67" s="141"/>
      <c r="M67" s="163"/>
    </row>
    <row r="68" spans="1:13" s="35" customFormat="1" ht="35.1" customHeight="1" x14ac:dyDescent="0.3">
      <c r="A68" s="30"/>
      <c r="B68" s="22"/>
      <c r="C68" s="31"/>
      <c r="D68" s="90" t="s">
        <v>434</v>
      </c>
      <c r="E68" s="91">
        <f>(1.5-0.3+1.7-0.3)/2*1*(3.6-0.5)</f>
        <v>4.03</v>
      </c>
      <c r="F68" s="92" t="s">
        <v>17</v>
      </c>
      <c r="G68" s="19"/>
      <c r="H68" s="20"/>
      <c r="J68" s="141"/>
      <c r="K68" s="145"/>
      <c r="L68" s="141"/>
      <c r="M68" s="163"/>
    </row>
    <row r="69" spans="1:13" s="102" customFormat="1" ht="35.1" customHeight="1" x14ac:dyDescent="0.3">
      <c r="A69" s="100"/>
      <c r="B69" s="104"/>
      <c r="C69" s="101"/>
      <c r="D69" s="121" t="s">
        <v>220</v>
      </c>
      <c r="E69" s="122">
        <f>SUM(E61:E68)</f>
        <v>136.405</v>
      </c>
      <c r="F69" s="123" t="s">
        <v>17</v>
      </c>
      <c r="G69" s="99"/>
      <c r="H69" s="20"/>
      <c r="J69" s="142"/>
      <c r="K69" s="145"/>
      <c r="L69" s="142"/>
      <c r="M69" s="143"/>
    </row>
    <row r="70" spans="1:13" s="102" customFormat="1" ht="35.1" customHeight="1" x14ac:dyDescent="0.3">
      <c r="A70" s="100"/>
      <c r="B70" s="104"/>
      <c r="C70" s="101"/>
      <c r="D70" s="121" t="s">
        <v>18</v>
      </c>
      <c r="E70" s="122">
        <f>E58+E69</f>
        <v>352.01625000000001</v>
      </c>
      <c r="F70" s="123" t="s">
        <v>17</v>
      </c>
      <c r="G70" s="99"/>
      <c r="H70" s="20"/>
      <c r="J70" s="142"/>
      <c r="K70" s="145"/>
      <c r="L70" s="142"/>
      <c r="M70" s="143"/>
    </row>
    <row r="71" spans="1:13" s="35" customFormat="1" ht="35.1" customHeight="1" x14ac:dyDescent="0.3">
      <c r="A71" s="30"/>
      <c r="B71" s="22"/>
      <c r="C71" s="31"/>
      <c r="D71" s="96"/>
      <c r="E71" s="97"/>
      <c r="F71" s="98"/>
      <c r="G71" s="99"/>
      <c r="H71" s="20"/>
      <c r="J71" s="141"/>
      <c r="K71" s="145"/>
      <c r="L71" s="141"/>
      <c r="M71" s="163"/>
    </row>
    <row r="72" spans="1:13" s="4" customFormat="1" ht="35.1" customHeight="1" x14ac:dyDescent="0.3">
      <c r="A72" s="13">
        <v>6</v>
      </c>
      <c r="B72" s="14" t="s">
        <v>12</v>
      </c>
      <c r="C72" s="15" t="s">
        <v>20</v>
      </c>
      <c r="D72" s="16" t="s">
        <v>21</v>
      </c>
      <c r="E72" s="17">
        <f>E45*0.5</f>
        <v>176.00812500000001</v>
      </c>
      <c r="F72" s="18" t="s">
        <v>17</v>
      </c>
      <c r="G72" s="19"/>
      <c r="H72" s="20">
        <f t="shared" si="1"/>
        <v>0</v>
      </c>
      <c r="J72" s="139">
        <v>0</v>
      </c>
      <c r="K72" s="145">
        <f t="shared" si="3"/>
        <v>0</v>
      </c>
      <c r="L72" s="139">
        <v>0</v>
      </c>
      <c r="M72" s="146" t="e">
        <f>L72*#REF!</f>
        <v>#REF!</v>
      </c>
    </row>
    <row r="73" spans="1:13" s="29" customFormat="1" ht="35.1" customHeight="1" x14ac:dyDescent="0.3">
      <c r="A73" s="21"/>
      <c r="B73" s="22"/>
      <c r="C73" s="23" t="s">
        <v>0</v>
      </c>
      <c r="D73" s="24" t="s">
        <v>552</v>
      </c>
      <c r="E73" s="25">
        <f>E45*0.5</f>
        <v>176.00812500000001</v>
      </c>
      <c r="F73" s="26" t="s">
        <v>17</v>
      </c>
      <c r="G73" s="27"/>
      <c r="H73" s="20"/>
      <c r="J73" s="140"/>
      <c r="K73" s="145"/>
      <c r="L73" s="140"/>
      <c r="M73" s="149"/>
    </row>
    <row r="74" spans="1:13" s="35" customFormat="1" ht="35.1" customHeight="1" x14ac:dyDescent="0.3">
      <c r="A74" s="30"/>
      <c r="B74" s="22"/>
      <c r="C74" s="31"/>
      <c r="D74" s="95"/>
      <c r="E74" s="32"/>
      <c r="F74" s="33"/>
      <c r="G74" s="34"/>
      <c r="H74" s="20"/>
      <c r="J74" s="141"/>
      <c r="K74" s="145"/>
      <c r="L74" s="141"/>
      <c r="M74" s="143"/>
    </row>
    <row r="75" spans="1:13" s="4" customFormat="1" ht="35.1" customHeight="1" x14ac:dyDescent="0.3">
      <c r="A75" s="13">
        <v>7</v>
      </c>
      <c r="B75" s="14" t="s">
        <v>12</v>
      </c>
      <c r="C75" s="15" t="s">
        <v>23</v>
      </c>
      <c r="D75" s="16" t="s">
        <v>24</v>
      </c>
      <c r="E75" s="17">
        <f>E85</f>
        <v>24.113500000000002</v>
      </c>
      <c r="F75" s="18" t="s">
        <v>17</v>
      </c>
      <c r="G75" s="19"/>
      <c r="H75" s="20">
        <f t="shared" ref="H75:H135" si="4">E75*G75</f>
        <v>0</v>
      </c>
      <c r="J75" s="139">
        <v>0</v>
      </c>
      <c r="K75" s="145">
        <f t="shared" ref="K75:K129" si="5">E75*J75</f>
        <v>0</v>
      </c>
      <c r="L75" s="139">
        <v>0</v>
      </c>
      <c r="M75" s="146" t="e">
        <f>L75*#REF!</f>
        <v>#REF!</v>
      </c>
    </row>
    <row r="76" spans="1:13" s="4" customFormat="1" ht="35.1" customHeight="1" x14ac:dyDescent="0.3">
      <c r="A76" s="13"/>
      <c r="B76" s="14"/>
      <c r="C76" s="15"/>
      <c r="D76" s="16" t="s">
        <v>352</v>
      </c>
      <c r="E76" s="17"/>
      <c r="F76" s="18"/>
      <c r="G76" s="19"/>
      <c r="H76" s="20"/>
      <c r="J76" s="139"/>
      <c r="K76" s="145"/>
      <c r="L76" s="139"/>
      <c r="M76" s="146"/>
    </row>
    <row r="77" spans="1:13" s="29" customFormat="1" ht="35.1" customHeight="1" x14ac:dyDescent="0.3">
      <c r="A77" s="21"/>
      <c r="B77" s="22"/>
      <c r="C77" s="23"/>
      <c r="D77" s="24" t="s">
        <v>435</v>
      </c>
      <c r="E77" s="25">
        <f>(2.4-0.55+2*0.1)*2.5*4.5</f>
        <v>23.0625</v>
      </c>
      <c r="F77" s="26" t="s">
        <v>17</v>
      </c>
      <c r="G77" s="27"/>
      <c r="H77" s="20"/>
      <c r="J77" s="140"/>
      <c r="K77" s="145"/>
      <c r="L77" s="140"/>
      <c r="M77" s="149"/>
    </row>
    <row r="78" spans="1:13" s="29" customFormat="1" ht="35.1" customHeight="1" x14ac:dyDescent="0.3">
      <c r="A78" s="21"/>
      <c r="B78" s="22"/>
      <c r="C78" s="23"/>
      <c r="D78" s="24" t="s">
        <v>436</v>
      </c>
      <c r="E78" s="25">
        <f>-(2.4-0.55+2*0.1)*2*2</f>
        <v>-8.1999999999999993</v>
      </c>
      <c r="F78" s="26" t="s">
        <v>17</v>
      </c>
      <c r="G78" s="27"/>
      <c r="H78" s="20"/>
      <c r="J78" s="140"/>
      <c r="K78" s="145"/>
      <c r="L78" s="140"/>
      <c r="M78" s="149"/>
    </row>
    <row r="79" spans="1:13" s="29" customFormat="1" ht="35.1" customHeight="1" x14ac:dyDescent="0.3">
      <c r="A79" s="21"/>
      <c r="B79" s="22"/>
      <c r="C79" s="23"/>
      <c r="D79" s="24" t="s">
        <v>437</v>
      </c>
      <c r="E79" s="25">
        <f>(1.75-0.55+2*0.1)*2*1</f>
        <v>2.8</v>
      </c>
      <c r="F79" s="26" t="s">
        <v>17</v>
      </c>
      <c r="G79" s="27"/>
      <c r="H79" s="20"/>
      <c r="J79" s="140"/>
      <c r="K79" s="145"/>
      <c r="L79" s="140"/>
      <c r="M79" s="149"/>
    </row>
    <row r="80" spans="1:13" s="29" customFormat="1" ht="35.1" customHeight="1" x14ac:dyDescent="0.3">
      <c r="A80" s="21"/>
      <c r="B80" s="22"/>
      <c r="C80" s="23"/>
      <c r="D80" s="24" t="s">
        <v>438</v>
      </c>
      <c r="E80" s="25">
        <f>-(1.75-0.55+2*0.1)*3.14*1*1/4</f>
        <v>-1.099</v>
      </c>
      <c r="F80" s="26" t="s">
        <v>17</v>
      </c>
      <c r="G80" s="27"/>
      <c r="H80" s="20"/>
      <c r="J80" s="140"/>
      <c r="K80" s="145"/>
      <c r="L80" s="140"/>
      <c r="M80" s="149"/>
    </row>
    <row r="81" spans="1:13" s="29" customFormat="1" ht="35.1" customHeight="1" x14ac:dyDescent="0.3">
      <c r="A81" s="21"/>
      <c r="B81" s="22"/>
      <c r="C81" s="23"/>
      <c r="D81" s="24" t="s">
        <v>439</v>
      </c>
      <c r="E81" s="25">
        <f>(1.75-0.55+2*0.1)*1.5*1.5</f>
        <v>3.1499999999999995</v>
      </c>
      <c r="F81" s="26" t="s">
        <v>17</v>
      </c>
      <c r="G81" s="27"/>
      <c r="H81" s="20"/>
      <c r="J81" s="140"/>
      <c r="K81" s="145"/>
      <c r="L81" s="140"/>
      <c r="M81" s="149"/>
    </row>
    <row r="82" spans="1:13" s="29" customFormat="1" ht="35.1" customHeight="1" x14ac:dyDescent="0.3">
      <c r="A82" s="21"/>
      <c r="B82" s="22"/>
      <c r="C82" s="23"/>
      <c r="D82" s="24" t="s">
        <v>350</v>
      </c>
      <c r="E82" s="25">
        <f>2*(2+2*0.1)*1*1</f>
        <v>4.4000000000000004</v>
      </c>
      <c r="F82" s="26" t="s">
        <v>17</v>
      </c>
      <c r="G82" s="27"/>
      <c r="H82" s="20"/>
      <c r="J82" s="140"/>
      <c r="K82" s="145"/>
      <c r="L82" s="140"/>
      <c r="M82" s="149"/>
    </row>
    <row r="83" spans="1:13" s="29" customFormat="1" ht="35.1" customHeight="1" x14ac:dyDescent="0.3">
      <c r="A83" s="21"/>
      <c r="B83" s="22"/>
      <c r="C83" s="23"/>
      <c r="D83" s="24" t="s">
        <v>338</v>
      </c>
      <c r="E83" s="25">
        <f>-E82/2</f>
        <v>-2.2000000000000002</v>
      </c>
      <c r="F83" s="26" t="s">
        <v>17</v>
      </c>
      <c r="G83" s="27"/>
      <c r="H83" s="20"/>
      <c r="J83" s="140"/>
      <c r="K83" s="145"/>
      <c r="L83" s="140"/>
      <c r="M83" s="149"/>
    </row>
    <row r="84" spans="1:13" s="29" customFormat="1" ht="35.1" customHeight="1" x14ac:dyDescent="0.3">
      <c r="A84" s="21"/>
      <c r="B84" s="22"/>
      <c r="C84" s="23"/>
      <c r="D84" s="24" t="s">
        <v>351</v>
      </c>
      <c r="E84" s="25">
        <f>(2+2*0.1)*1*1</f>
        <v>2.2000000000000002</v>
      </c>
      <c r="F84" s="26" t="s">
        <v>17</v>
      </c>
      <c r="G84" s="27"/>
      <c r="H84" s="20"/>
      <c r="J84" s="140"/>
      <c r="K84" s="145"/>
      <c r="L84" s="140"/>
      <c r="M84" s="149"/>
    </row>
    <row r="85" spans="1:13" s="29" customFormat="1" ht="35.1" customHeight="1" x14ac:dyDescent="0.3">
      <c r="A85" s="21"/>
      <c r="B85" s="22"/>
      <c r="C85" s="23"/>
      <c r="D85" s="121" t="s">
        <v>18</v>
      </c>
      <c r="E85" s="122">
        <f>SUM(E77:E84)</f>
        <v>24.113500000000002</v>
      </c>
      <c r="F85" s="123" t="s">
        <v>17</v>
      </c>
      <c r="G85" s="27"/>
      <c r="H85" s="20"/>
      <c r="J85" s="140"/>
      <c r="K85" s="145"/>
      <c r="L85" s="140"/>
      <c r="M85" s="149"/>
    </row>
    <row r="86" spans="1:13" s="29" customFormat="1" ht="35.1" customHeight="1" x14ac:dyDescent="0.3">
      <c r="A86" s="21"/>
      <c r="B86" s="22"/>
      <c r="C86" s="23"/>
      <c r="D86" s="24"/>
      <c r="E86" s="25"/>
      <c r="F86" s="26"/>
      <c r="G86" s="27"/>
      <c r="H86" s="20"/>
      <c r="J86" s="140"/>
      <c r="K86" s="145"/>
      <c r="L86" s="140"/>
      <c r="M86" s="149"/>
    </row>
    <row r="87" spans="1:13" s="4" customFormat="1" ht="35.1" customHeight="1" x14ac:dyDescent="0.3">
      <c r="A87" s="13">
        <v>8</v>
      </c>
      <c r="B87" s="14" t="s">
        <v>12</v>
      </c>
      <c r="C87" s="15" t="s">
        <v>26</v>
      </c>
      <c r="D87" s="16" t="s">
        <v>27</v>
      </c>
      <c r="E87" s="17">
        <f>E90</f>
        <v>376.12975</v>
      </c>
      <c r="F87" s="18" t="s">
        <v>17</v>
      </c>
      <c r="G87" s="19"/>
      <c r="H87" s="20">
        <f t="shared" si="4"/>
        <v>0</v>
      </c>
      <c r="J87" s="139">
        <v>0</v>
      </c>
      <c r="K87" s="145">
        <f t="shared" si="5"/>
        <v>0</v>
      </c>
      <c r="L87" s="139">
        <v>0</v>
      </c>
      <c r="M87" s="146" t="e">
        <f>L87*#REF!</f>
        <v>#REF!</v>
      </c>
    </row>
    <row r="88" spans="1:13" s="29" customFormat="1" ht="35.1" customHeight="1" x14ac:dyDescent="0.3">
      <c r="A88" s="21"/>
      <c r="B88" s="22"/>
      <c r="C88" s="23"/>
      <c r="D88" s="24" t="s">
        <v>223</v>
      </c>
      <c r="E88" s="25">
        <f>E45</f>
        <v>352.01625000000001</v>
      </c>
      <c r="F88" s="26" t="s">
        <v>17</v>
      </c>
      <c r="G88" s="27"/>
      <c r="H88" s="20"/>
      <c r="J88" s="140"/>
      <c r="K88" s="145"/>
      <c r="L88" s="140"/>
      <c r="M88" s="149"/>
    </row>
    <row r="89" spans="1:13" s="29" customFormat="1" ht="35.1" customHeight="1" x14ac:dyDescent="0.3">
      <c r="A89" s="21"/>
      <c r="B89" s="22"/>
      <c r="C89" s="23"/>
      <c r="D89" s="24" t="s">
        <v>224</v>
      </c>
      <c r="E89" s="25">
        <f>E75</f>
        <v>24.113500000000002</v>
      </c>
      <c r="F89" s="26" t="s">
        <v>17</v>
      </c>
      <c r="G89" s="27"/>
      <c r="H89" s="20"/>
      <c r="J89" s="140"/>
      <c r="K89" s="145"/>
      <c r="L89" s="140"/>
      <c r="M89" s="149"/>
    </row>
    <row r="90" spans="1:13" s="29" customFormat="1" ht="35.1" customHeight="1" x14ac:dyDescent="0.3">
      <c r="A90" s="21"/>
      <c r="B90" s="22"/>
      <c r="C90" s="23"/>
      <c r="D90" s="121" t="s">
        <v>225</v>
      </c>
      <c r="E90" s="122">
        <f>SUM(E88:E89)</f>
        <v>376.12975</v>
      </c>
      <c r="F90" s="123" t="s">
        <v>17</v>
      </c>
      <c r="G90" s="27"/>
      <c r="H90" s="20"/>
      <c r="J90" s="140"/>
      <c r="K90" s="145"/>
      <c r="L90" s="140"/>
      <c r="M90" s="149"/>
    </row>
    <row r="91" spans="1:13" s="29" customFormat="1" ht="35.1" customHeight="1" x14ac:dyDescent="0.3">
      <c r="A91" s="21"/>
      <c r="B91" s="22"/>
      <c r="C91" s="23"/>
      <c r="D91" s="24"/>
      <c r="E91" s="25"/>
      <c r="F91" s="26"/>
      <c r="G91" s="27"/>
      <c r="H91" s="20"/>
      <c r="J91" s="140"/>
      <c r="K91" s="145"/>
      <c r="L91" s="140"/>
      <c r="M91" s="149"/>
    </row>
    <row r="92" spans="1:13" s="4" customFormat="1" ht="35.1" customHeight="1" x14ac:dyDescent="0.3">
      <c r="A92" s="13">
        <v>9</v>
      </c>
      <c r="B92" s="14" t="s">
        <v>12</v>
      </c>
      <c r="C92" s="15" t="s">
        <v>28</v>
      </c>
      <c r="D92" s="16" t="s">
        <v>29</v>
      </c>
      <c r="E92" s="17">
        <f>E122</f>
        <v>852.9430000000001</v>
      </c>
      <c r="F92" s="18" t="s">
        <v>13</v>
      </c>
      <c r="G92" s="19"/>
      <c r="H92" s="20">
        <f t="shared" si="4"/>
        <v>0</v>
      </c>
      <c r="J92" s="139">
        <v>0.84538000000000002</v>
      </c>
      <c r="K92" s="145">
        <f t="shared" si="5"/>
        <v>721.06095334000008</v>
      </c>
      <c r="L92" s="139">
        <v>0</v>
      </c>
      <c r="M92" s="146" t="e">
        <f>L92*#REF!</f>
        <v>#REF!</v>
      </c>
    </row>
    <row r="93" spans="1:13" s="4" customFormat="1" ht="35.1" customHeight="1" x14ac:dyDescent="0.3">
      <c r="A93" s="13"/>
      <c r="B93" s="14"/>
      <c r="C93" s="15"/>
      <c r="D93" s="24" t="s">
        <v>240</v>
      </c>
      <c r="E93" s="25">
        <f>2*1.75*(1.5+3)</f>
        <v>15.75</v>
      </c>
      <c r="F93" s="26" t="s">
        <v>13</v>
      </c>
      <c r="G93" s="19"/>
      <c r="H93" s="20"/>
      <c r="J93" s="139"/>
      <c r="K93" s="145"/>
      <c r="L93" s="139"/>
      <c r="M93" s="146"/>
    </row>
    <row r="94" spans="1:13" s="4" customFormat="1" ht="35.1" customHeight="1" x14ac:dyDescent="0.3">
      <c r="A94" s="13"/>
      <c r="B94" s="14"/>
      <c r="C94" s="15"/>
      <c r="D94" s="24" t="s">
        <v>241</v>
      </c>
      <c r="E94" s="25">
        <f>2*(1.75+2.4)/2*(60-1.5)</f>
        <v>242.77500000000003</v>
      </c>
      <c r="F94" s="26" t="s">
        <v>13</v>
      </c>
      <c r="G94" s="19"/>
      <c r="H94" s="20"/>
      <c r="J94" s="139"/>
      <c r="K94" s="145"/>
      <c r="L94" s="139"/>
      <c r="M94" s="146"/>
    </row>
    <row r="95" spans="1:13" s="4" customFormat="1" ht="35.1" customHeight="1" x14ac:dyDescent="0.3">
      <c r="A95" s="13"/>
      <c r="B95" s="14"/>
      <c r="C95" s="15"/>
      <c r="D95" s="24" t="s">
        <v>242</v>
      </c>
      <c r="E95" s="25">
        <f>2*2.4*1.5</f>
        <v>7.1999999999999993</v>
      </c>
      <c r="F95" s="26" t="s">
        <v>13</v>
      </c>
      <c r="G95" s="19"/>
      <c r="H95" s="20"/>
      <c r="J95" s="139"/>
      <c r="K95" s="145"/>
      <c r="L95" s="139"/>
      <c r="M95" s="146"/>
    </row>
    <row r="96" spans="1:13" s="4" customFormat="1" ht="35.1" customHeight="1" x14ac:dyDescent="0.3">
      <c r="A96" s="13"/>
      <c r="B96" s="14"/>
      <c r="C96" s="15"/>
      <c r="D96" s="24" t="s">
        <v>330</v>
      </c>
      <c r="E96" s="25">
        <f>2*1.759</f>
        <v>3.5179999999999998</v>
      </c>
      <c r="F96" s="26" t="s">
        <v>13</v>
      </c>
      <c r="G96" s="19"/>
      <c r="H96" s="20"/>
      <c r="J96" s="139"/>
      <c r="K96" s="145"/>
      <c r="L96" s="139"/>
      <c r="M96" s="146"/>
    </row>
    <row r="97" spans="1:13" s="4" customFormat="1" ht="35.1" customHeight="1" x14ac:dyDescent="0.3">
      <c r="A97" s="13"/>
      <c r="B97" s="14"/>
      <c r="C97" s="15"/>
      <c r="D97" s="24" t="s">
        <v>329</v>
      </c>
      <c r="E97" s="25">
        <f>2*1.75*10</f>
        <v>35</v>
      </c>
      <c r="F97" s="26" t="s">
        <v>13</v>
      </c>
      <c r="G97" s="19"/>
      <c r="H97" s="20"/>
      <c r="J97" s="139"/>
      <c r="K97" s="145"/>
      <c r="L97" s="139"/>
      <c r="M97" s="146"/>
    </row>
    <row r="98" spans="1:13" s="4" customFormat="1" ht="35.1" customHeight="1" x14ac:dyDescent="0.3">
      <c r="A98" s="13"/>
      <c r="B98" s="14"/>
      <c r="C98" s="15"/>
      <c r="D98" s="24" t="s">
        <v>315</v>
      </c>
      <c r="E98" s="25"/>
      <c r="F98" s="26"/>
      <c r="G98" s="19"/>
      <c r="H98" s="20"/>
      <c r="J98" s="139"/>
      <c r="K98" s="145"/>
      <c r="L98" s="139"/>
      <c r="M98" s="146"/>
    </row>
    <row r="99" spans="1:13" s="4" customFormat="1" ht="35.1" customHeight="1" x14ac:dyDescent="0.3">
      <c r="A99" s="13"/>
      <c r="B99" s="14"/>
      <c r="C99" s="15"/>
      <c r="D99" s="24" t="s">
        <v>412</v>
      </c>
      <c r="E99" s="25">
        <f>2*(1.3+2.1)/2*(4.3+4.7+4.4+5-4*1.5)</f>
        <v>42.16</v>
      </c>
      <c r="F99" s="26" t="s">
        <v>13</v>
      </c>
      <c r="G99" s="19"/>
      <c r="H99" s="20"/>
      <c r="J99" s="139"/>
      <c r="K99" s="145"/>
      <c r="L99" s="139"/>
      <c r="M99" s="146"/>
    </row>
    <row r="100" spans="1:13" s="4" customFormat="1" ht="35.1" customHeight="1" x14ac:dyDescent="0.3">
      <c r="A100" s="13"/>
      <c r="B100" s="14"/>
      <c r="C100" s="15"/>
      <c r="D100" s="24" t="s">
        <v>411</v>
      </c>
      <c r="E100" s="25">
        <f>2*4*(1.3+2.1)/2*2</f>
        <v>27.200000000000003</v>
      </c>
      <c r="F100" s="26" t="s">
        <v>13</v>
      </c>
      <c r="G100" s="19"/>
      <c r="H100" s="20"/>
      <c r="J100" s="139"/>
      <c r="K100" s="145"/>
      <c r="L100" s="139"/>
      <c r="M100" s="146"/>
    </row>
    <row r="101" spans="1:13" s="4" customFormat="1" ht="35.1" customHeight="1" x14ac:dyDescent="0.3">
      <c r="A101" s="13"/>
      <c r="B101" s="14"/>
      <c r="C101" s="15"/>
      <c r="D101" s="24" t="s">
        <v>318</v>
      </c>
      <c r="E101" s="25">
        <f>2*(1.3+2.1)/2*(3.6-0.5)</f>
        <v>10.540000000000001</v>
      </c>
      <c r="F101" s="26" t="s">
        <v>13</v>
      </c>
      <c r="G101" s="19"/>
      <c r="H101" s="20"/>
      <c r="J101" s="139"/>
      <c r="K101" s="145"/>
      <c r="L101" s="139"/>
      <c r="M101" s="146"/>
    </row>
    <row r="102" spans="1:13" s="4" customFormat="1" ht="35.1" customHeight="1" x14ac:dyDescent="0.3">
      <c r="A102" s="13"/>
      <c r="B102" s="14"/>
      <c r="C102" s="15"/>
      <c r="D102" s="24" t="s">
        <v>409</v>
      </c>
      <c r="E102" s="25">
        <f>2*2.1*1</f>
        <v>4.2</v>
      </c>
      <c r="F102" s="26" t="s">
        <v>13</v>
      </c>
      <c r="G102" s="19"/>
      <c r="H102" s="20"/>
      <c r="J102" s="139"/>
      <c r="K102" s="145"/>
      <c r="L102" s="139"/>
      <c r="M102" s="146"/>
    </row>
    <row r="103" spans="1:13" s="4" customFormat="1" ht="35.1" customHeight="1" x14ac:dyDescent="0.3">
      <c r="A103" s="13"/>
      <c r="B103" s="14"/>
      <c r="C103" s="15"/>
      <c r="D103" s="121" t="s">
        <v>221</v>
      </c>
      <c r="E103" s="122">
        <f>SUM(E93:E102)</f>
        <v>388.34300000000002</v>
      </c>
      <c r="F103" s="123" t="s">
        <v>13</v>
      </c>
      <c r="G103" s="19"/>
      <c r="H103" s="20"/>
      <c r="J103" s="139"/>
      <c r="K103" s="145"/>
      <c r="L103" s="139"/>
      <c r="M103" s="146"/>
    </row>
    <row r="104" spans="1:13" s="4" customFormat="1" ht="35.1" customHeight="1" x14ac:dyDescent="0.3">
      <c r="A104" s="13"/>
      <c r="B104" s="14"/>
      <c r="C104" s="15"/>
      <c r="D104" s="24"/>
      <c r="E104" s="25"/>
      <c r="F104" s="26"/>
      <c r="G104" s="19"/>
      <c r="H104" s="20"/>
      <c r="J104" s="139"/>
      <c r="K104" s="145"/>
      <c r="L104" s="139"/>
      <c r="M104" s="146"/>
    </row>
    <row r="105" spans="1:13" s="4" customFormat="1" ht="35.1" customHeight="1" x14ac:dyDescent="0.3">
      <c r="A105" s="13"/>
      <c r="B105" s="14"/>
      <c r="C105" s="15"/>
      <c r="D105" s="24" t="s">
        <v>237</v>
      </c>
      <c r="E105" s="25"/>
      <c r="F105" s="26"/>
      <c r="G105" s="19"/>
      <c r="H105" s="20"/>
      <c r="J105" s="139"/>
      <c r="K105" s="145"/>
      <c r="L105" s="139"/>
      <c r="M105" s="146"/>
    </row>
    <row r="106" spans="1:13" s="4" customFormat="1" ht="35.1" customHeight="1" x14ac:dyDescent="0.3">
      <c r="A106" s="13"/>
      <c r="B106" s="14"/>
      <c r="C106" s="15"/>
      <c r="D106" s="24" t="s">
        <v>243</v>
      </c>
      <c r="E106" s="25">
        <f>2*1.7*75</f>
        <v>255</v>
      </c>
      <c r="F106" s="26" t="s">
        <v>13</v>
      </c>
      <c r="G106" s="19"/>
      <c r="H106" s="20"/>
      <c r="J106" s="139"/>
      <c r="K106" s="145"/>
      <c r="L106" s="139"/>
      <c r="M106" s="146"/>
    </row>
    <row r="107" spans="1:13" s="4" customFormat="1" ht="35.1" customHeight="1" x14ac:dyDescent="0.3">
      <c r="A107" s="13"/>
      <c r="B107" s="14"/>
      <c r="C107" s="15"/>
      <c r="D107" s="24" t="s">
        <v>244</v>
      </c>
      <c r="E107" s="25">
        <f>2*1.7*(5+5)</f>
        <v>34</v>
      </c>
      <c r="F107" s="26" t="s">
        <v>13</v>
      </c>
      <c r="G107" s="19"/>
      <c r="H107" s="20"/>
      <c r="J107" s="139"/>
      <c r="K107" s="145"/>
      <c r="L107" s="139"/>
      <c r="M107" s="146"/>
    </row>
    <row r="108" spans="1:13" s="4" customFormat="1" ht="35.1" customHeight="1" x14ac:dyDescent="0.3">
      <c r="A108" s="13"/>
      <c r="B108" s="14"/>
      <c r="C108" s="15"/>
      <c r="D108" s="24" t="s">
        <v>319</v>
      </c>
      <c r="E108" s="25">
        <f>2*1.7*2</f>
        <v>6.8</v>
      </c>
      <c r="F108" s="26" t="s">
        <v>13</v>
      </c>
      <c r="G108" s="19"/>
      <c r="H108" s="20"/>
      <c r="J108" s="139"/>
      <c r="K108" s="145"/>
      <c r="L108" s="139"/>
      <c r="M108" s="146"/>
    </row>
    <row r="109" spans="1:13" s="4" customFormat="1" ht="35.1" customHeight="1" x14ac:dyDescent="0.3">
      <c r="A109" s="13"/>
      <c r="B109" s="14"/>
      <c r="C109" s="15"/>
      <c r="D109" s="24" t="s">
        <v>320</v>
      </c>
      <c r="E109" s="25">
        <f>2*1.7*5</f>
        <v>17</v>
      </c>
      <c r="F109" s="26" t="s">
        <v>13</v>
      </c>
      <c r="G109" s="19"/>
      <c r="H109" s="20"/>
      <c r="J109" s="139"/>
      <c r="K109" s="145"/>
      <c r="L109" s="139"/>
      <c r="M109" s="146"/>
    </row>
    <row r="110" spans="1:13" s="4" customFormat="1" ht="35.1" customHeight="1" x14ac:dyDescent="0.3">
      <c r="A110" s="13"/>
      <c r="B110" s="14"/>
      <c r="C110" s="15"/>
      <c r="D110" s="24" t="s">
        <v>239</v>
      </c>
      <c r="E110" s="25"/>
      <c r="F110" s="26"/>
      <c r="G110" s="19"/>
      <c r="H110" s="20"/>
      <c r="J110" s="139"/>
      <c r="K110" s="145"/>
      <c r="L110" s="139"/>
      <c r="M110" s="146"/>
    </row>
    <row r="111" spans="1:13" s="4" customFormat="1" ht="35.1" customHeight="1" x14ac:dyDescent="0.3">
      <c r="A111" s="13"/>
      <c r="B111" s="14"/>
      <c r="C111" s="15"/>
      <c r="D111" s="90" t="s">
        <v>553</v>
      </c>
      <c r="E111" s="91">
        <f>2*(1.5+1.7)/2*(4.3+4.7+4.4-3*0.5)</f>
        <v>38.080000000000005</v>
      </c>
      <c r="F111" s="92" t="s">
        <v>13</v>
      </c>
      <c r="G111" s="19"/>
      <c r="H111" s="20"/>
      <c r="J111" s="139"/>
      <c r="K111" s="145"/>
      <c r="L111" s="139"/>
      <c r="M111" s="146"/>
    </row>
    <row r="112" spans="1:13" s="4" customFormat="1" ht="35.1" customHeight="1" x14ac:dyDescent="0.3">
      <c r="A112" s="13"/>
      <c r="B112" s="14"/>
      <c r="C112" s="15"/>
      <c r="D112" s="90" t="s">
        <v>554</v>
      </c>
      <c r="E112" s="91">
        <f>2*4*(1.5+1.7)/2*1*2</f>
        <v>25.6</v>
      </c>
      <c r="F112" s="92" t="s">
        <v>13</v>
      </c>
      <c r="G112" s="19"/>
      <c r="H112" s="20"/>
      <c r="J112" s="139"/>
      <c r="K112" s="145"/>
      <c r="L112" s="139"/>
      <c r="M112" s="146"/>
    </row>
    <row r="113" spans="1:13" s="4" customFormat="1" ht="35.1" customHeight="1" x14ac:dyDescent="0.3">
      <c r="A113" s="13"/>
      <c r="B113" s="14"/>
      <c r="C113" s="15"/>
      <c r="D113" s="90" t="s">
        <v>321</v>
      </c>
      <c r="E113" s="91">
        <f>2*(1.5+1.7)/2*3.6</f>
        <v>11.520000000000001</v>
      </c>
      <c r="F113" s="92" t="s">
        <v>13</v>
      </c>
      <c r="G113" s="19"/>
      <c r="H113" s="20"/>
      <c r="J113" s="139"/>
      <c r="K113" s="145"/>
      <c r="L113" s="139"/>
      <c r="M113" s="146"/>
    </row>
    <row r="114" spans="1:13" s="4" customFormat="1" ht="35.1" customHeight="1" x14ac:dyDescent="0.3">
      <c r="A114" s="13"/>
      <c r="B114" s="14"/>
      <c r="C114" s="15"/>
      <c r="D114" s="121" t="s">
        <v>220</v>
      </c>
      <c r="E114" s="122">
        <f>SUM(E106:E113)</f>
        <v>388</v>
      </c>
      <c r="F114" s="123" t="s">
        <v>13</v>
      </c>
      <c r="G114" s="19"/>
      <c r="H114" s="20"/>
      <c r="J114" s="139"/>
      <c r="K114" s="145"/>
      <c r="L114" s="139"/>
      <c r="M114" s="146"/>
    </row>
    <row r="115" spans="1:13" s="4" customFormat="1" ht="35.1" customHeight="1" x14ac:dyDescent="0.3">
      <c r="A115" s="13"/>
      <c r="B115" s="14"/>
      <c r="C115" s="15"/>
      <c r="D115" s="96"/>
      <c r="E115" s="97"/>
      <c r="F115" s="98"/>
      <c r="G115" s="19"/>
      <c r="H115" s="20"/>
      <c r="J115" s="139"/>
      <c r="K115" s="145"/>
      <c r="L115" s="139"/>
      <c r="M115" s="146"/>
    </row>
    <row r="116" spans="1:13" s="4" customFormat="1" ht="35.1" customHeight="1" x14ac:dyDescent="0.3">
      <c r="A116" s="13"/>
      <c r="B116" s="14"/>
      <c r="C116" s="15"/>
      <c r="D116" s="24" t="s">
        <v>322</v>
      </c>
      <c r="E116" s="25">
        <f>2*2.4*(2.5+4.5)</f>
        <v>33.6</v>
      </c>
      <c r="F116" s="26" t="s">
        <v>13</v>
      </c>
      <c r="G116" s="19"/>
      <c r="H116" s="20"/>
      <c r="J116" s="139"/>
      <c r="K116" s="145"/>
      <c r="L116" s="139"/>
      <c r="M116" s="146"/>
    </row>
    <row r="117" spans="1:13" s="4" customFormat="1" ht="35.1" customHeight="1" x14ac:dyDescent="0.3">
      <c r="A117" s="13"/>
      <c r="B117" s="14"/>
      <c r="C117" s="15"/>
      <c r="D117" s="24" t="s">
        <v>323</v>
      </c>
      <c r="E117" s="25">
        <f>4*1.75*1</f>
        <v>7</v>
      </c>
      <c r="F117" s="26" t="s">
        <v>13</v>
      </c>
      <c r="G117" s="19"/>
      <c r="H117" s="20"/>
      <c r="J117" s="139"/>
      <c r="K117" s="145"/>
      <c r="L117" s="139"/>
      <c r="M117" s="146"/>
    </row>
    <row r="118" spans="1:13" s="4" customFormat="1" ht="35.1" customHeight="1" x14ac:dyDescent="0.3">
      <c r="A118" s="13"/>
      <c r="B118" s="14"/>
      <c r="C118" s="15"/>
      <c r="D118" s="24" t="s">
        <v>418</v>
      </c>
      <c r="E118" s="25">
        <f>4*2*1.5</f>
        <v>12</v>
      </c>
      <c r="F118" s="26" t="s">
        <v>13</v>
      </c>
      <c r="G118" s="19"/>
      <c r="H118" s="20"/>
      <c r="J118" s="139"/>
      <c r="K118" s="145"/>
      <c r="L118" s="139"/>
      <c r="M118" s="146"/>
    </row>
    <row r="119" spans="1:13" s="4" customFormat="1" ht="35.1" customHeight="1" x14ac:dyDescent="0.3">
      <c r="A119" s="13"/>
      <c r="B119" s="14"/>
      <c r="C119" s="15"/>
      <c r="D119" s="24" t="s">
        <v>324</v>
      </c>
      <c r="E119" s="25">
        <f>2*4*2*1</f>
        <v>16</v>
      </c>
      <c r="F119" s="26" t="s">
        <v>13</v>
      </c>
      <c r="G119" s="19"/>
      <c r="H119" s="20"/>
      <c r="J119" s="139"/>
      <c r="K119" s="145"/>
      <c r="L119" s="139"/>
      <c r="M119" s="146"/>
    </row>
    <row r="120" spans="1:13" s="4" customFormat="1" ht="35.1" customHeight="1" x14ac:dyDescent="0.3">
      <c r="A120" s="13"/>
      <c r="B120" s="14"/>
      <c r="C120" s="15"/>
      <c r="D120" s="24" t="s">
        <v>325</v>
      </c>
      <c r="E120" s="25">
        <f>4*2*1</f>
        <v>8</v>
      </c>
      <c r="F120" s="26" t="s">
        <v>13</v>
      </c>
      <c r="G120" s="19"/>
      <c r="H120" s="20"/>
      <c r="J120" s="139"/>
      <c r="K120" s="145"/>
      <c r="L120" s="139"/>
      <c r="M120" s="146"/>
    </row>
    <row r="121" spans="1:13" s="4" customFormat="1" ht="35.1" customHeight="1" x14ac:dyDescent="0.3">
      <c r="A121" s="13"/>
      <c r="B121" s="14"/>
      <c r="C121" s="15"/>
      <c r="D121" s="121" t="s">
        <v>245</v>
      </c>
      <c r="E121" s="122">
        <f>SUM(E116:E120)</f>
        <v>76.599999999999994</v>
      </c>
      <c r="F121" s="123" t="s">
        <v>13</v>
      </c>
      <c r="G121" s="19"/>
      <c r="H121" s="20"/>
      <c r="J121" s="139"/>
      <c r="K121" s="145"/>
      <c r="L121" s="139"/>
      <c r="M121" s="146"/>
    </row>
    <row r="122" spans="1:13" s="4" customFormat="1" ht="35.1" customHeight="1" x14ac:dyDescent="0.3">
      <c r="A122" s="13"/>
      <c r="B122" s="14"/>
      <c r="C122" s="15"/>
      <c r="D122" s="121" t="s">
        <v>18</v>
      </c>
      <c r="E122" s="122">
        <f>E103+E114+E121</f>
        <v>852.9430000000001</v>
      </c>
      <c r="F122" s="123" t="s">
        <v>13</v>
      </c>
      <c r="G122" s="19"/>
      <c r="H122" s="20"/>
      <c r="J122" s="139"/>
      <c r="K122" s="145"/>
      <c r="L122" s="139"/>
      <c r="M122" s="146"/>
    </row>
    <row r="123" spans="1:13" s="4" customFormat="1" ht="35.1" customHeight="1" x14ac:dyDescent="0.3">
      <c r="A123" s="13"/>
      <c r="B123" s="14"/>
      <c r="C123" s="15"/>
      <c r="D123" s="106"/>
      <c r="E123" s="107"/>
      <c r="F123" s="108"/>
      <c r="G123" s="19"/>
      <c r="H123" s="20"/>
      <c r="J123" s="139"/>
      <c r="K123" s="145"/>
      <c r="L123" s="139"/>
      <c r="M123" s="146"/>
    </row>
    <row r="124" spans="1:13" s="4" customFormat="1" ht="35.1" customHeight="1" x14ac:dyDescent="0.3">
      <c r="A124" s="13">
        <v>10</v>
      </c>
      <c r="B124" s="14" t="s">
        <v>12</v>
      </c>
      <c r="C124" s="15" t="s">
        <v>30</v>
      </c>
      <c r="D124" s="16" t="s">
        <v>31</v>
      </c>
      <c r="E124" s="17">
        <f>E92</f>
        <v>852.9430000000001</v>
      </c>
      <c r="F124" s="18" t="s">
        <v>13</v>
      </c>
      <c r="G124" s="19"/>
      <c r="H124" s="20">
        <f t="shared" si="4"/>
        <v>0</v>
      </c>
      <c r="J124" s="139">
        <v>0</v>
      </c>
      <c r="K124" s="145">
        <f t="shared" si="5"/>
        <v>0</v>
      </c>
      <c r="L124" s="139">
        <v>0</v>
      </c>
      <c r="M124" s="146" t="e">
        <f>L124*#REF!</f>
        <v>#REF!</v>
      </c>
    </row>
    <row r="125" spans="1:13" s="29" customFormat="1" ht="35.1" customHeight="1" x14ac:dyDescent="0.3">
      <c r="A125" s="21"/>
      <c r="B125" s="22"/>
      <c r="C125" s="23"/>
      <c r="D125" s="24"/>
      <c r="E125" s="25"/>
      <c r="F125" s="26"/>
      <c r="G125" s="27"/>
      <c r="H125" s="20"/>
      <c r="J125" s="140"/>
      <c r="K125" s="145"/>
      <c r="L125" s="140"/>
      <c r="M125" s="149"/>
    </row>
    <row r="126" spans="1:13" s="4" customFormat="1" ht="35.1" customHeight="1" x14ac:dyDescent="0.3">
      <c r="A126" s="13">
        <v>11</v>
      </c>
      <c r="B126" s="14" t="s">
        <v>12</v>
      </c>
      <c r="C126" s="15" t="s">
        <v>32</v>
      </c>
      <c r="D126" s="16" t="s">
        <v>33</v>
      </c>
      <c r="E126" s="17">
        <f>E127</f>
        <v>204.23147453000001</v>
      </c>
      <c r="F126" s="18" t="s">
        <v>17</v>
      </c>
      <c r="G126" s="19"/>
      <c r="H126" s="20">
        <f t="shared" si="4"/>
        <v>0</v>
      </c>
      <c r="J126" s="139">
        <v>0</v>
      </c>
      <c r="K126" s="145">
        <f t="shared" si="5"/>
        <v>0</v>
      </c>
      <c r="L126" s="139">
        <v>0</v>
      </c>
      <c r="M126" s="146" t="e">
        <f>L126*#REF!</f>
        <v>#REF!</v>
      </c>
    </row>
    <row r="127" spans="1:13" s="29" customFormat="1" ht="35.1" customHeight="1" x14ac:dyDescent="0.3">
      <c r="A127" s="21"/>
      <c r="B127" s="22"/>
      <c r="C127" s="23" t="s">
        <v>0</v>
      </c>
      <c r="D127" s="24" t="s">
        <v>226</v>
      </c>
      <c r="E127" s="25">
        <f>E191</f>
        <v>204.23147453000001</v>
      </c>
      <c r="F127" s="26" t="s">
        <v>17</v>
      </c>
      <c r="G127" s="27"/>
      <c r="H127" s="20"/>
      <c r="J127" s="140"/>
      <c r="K127" s="145"/>
      <c r="L127" s="140"/>
      <c r="M127" s="149"/>
    </row>
    <row r="128" spans="1:13" s="29" customFormat="1" ht="35.1" customHeight="1" x14ac:dyDescent="0.3">
      <c r="A128" s="21"/>
      <c r="B128" s="22"/>
      <c r="C128" s="23"/>
      <c r="D128" s="24"/>
      <c r="E128" s="25"/>
      <c r="F128" s="26"/>
      <c r="G128" s="27"/>
      <c r="H128" s="20"/>
      <c r="J128" s="140"/>
      <c r="K128" s="145"/>
      <c r="L128" s="140"/>
      <c r="M128" s="149"/>
    </row>
    <row r="129" spans="1:13" s="4" customFormat="1" ht="35.1" customHeight="1" x14ac:dyDescent="0.3">
      <c r="A129" s="13">
        <v>12</v>
      </c>
      <c r="B129" s="14" t="s">
        <v>12</v>
      </c>
      <c r="C129" s="15" t="s">
        <v>34</v>
      </c>
      <c r="D129" s="16" t="s">
        <v>35</v>
      </c>
      <c r="E129" s="17">
        <f>E130</f>
        <v>23.805224529999975</v>
      </c>
      <c r="F129" s="18" t="s">
        <v>17</v>
      </c>
      <c r="G129" s="19"/>
      <c r="H129" s="20">
        <f t="shared" si="4"/>
        <v>0</v>
      </c>
      <c r="J129" s="139">
        <v>0</v>
      </c>
      <c r="K129" s="145">
        <f t="shared" si="5"/>
        <v>0</v>
      </c>
      <c r="L129" s="139">
        <v>0</v>
      </c>
      <c r="M129" s="146" t="e">
        <f>L129*#REF!</f>
        <v>#REF!</v>
      </c>
    </row>
    <row r="130" spans="1:13" s="29" customFormat="1" ht="35.1" customHeight="1" x14ac:dyDescent="0.3">
      <c r="A130" s="21"/>
      <c r="B130" s="22"/>
      <c r="C130" s="23"/>
      <c r="D130" s="24" t="s">
        <v>578</v>
      </c>
      <c r="E130" s="25">
        <f>E217</f>
        <v>23.805224529999975</v>
      </c>
      <c r="F130" s="26" t="s">
        <v>17</v>
      </c>
      <c r="G130" s="27"/>
      <c r="H130" s="20"/>
      <c r="J130" s="140"/>
      <c r="K130" s="145"/>
      <c r="L130" s="140"/>
      <c r="M130" s="149"/>
    </row>
    <row r="131" spans="1:13" s="29" customFormat="1" ht="35.1" customHeight="1" x14ac:dyDescent="0.3">
      <c r="A131" s="21"/>
      <c r="B131" s="22"/>
      <c r="C131" s="23"/>
      <c r="D131" s="96"/>
      <c r="E131" s="25"/>
      <c r="F131" s="26"/>
      <c r="G131" s="27"/>
      <c r="H131" s="20"/>
      <c r="J131" s="140"/>
      <c r="K131" s="145"/>
      <c r="L131" s="140"/>
      <c r="M131" s="149"/>
    </row>
    <row r="132" spans="1:13" s="4" customFormat="1" ht="35.1" customHeight="1" x14ac:dyDescent="0.3">
      <c r="A132" s="13">
        <v>13</v>
      </c>
      <c r="B132" s="14" t="s">
        <v>12</v>
      </c>
      <c r="C132" s="15" t="s">
        <v>36</v>
      </c>
      <c r="D132" s="16" t="s">
        <v>37</v>
      </c>
      <c r="E132" s="17">
        <f>E129*5</f>
        <v>119.02612264999988</v>
      </c>
      <c r="F132" s="18" t="s">
        <v>17</v>
      </c>
      <c r="G132" s="19"/>
      <c r="H132" s="20">
        <f t="shared" si="4"/>
        <v>0</v>
      </c>
      <c r="J132" s="139">
        <v>0</v>
      </c>
      <c r="K132" s="145">
        <f t="shared" ref="K132:K191" si="6">E132*J132</f>
        <v>0</v>
      </c>
      <c r="L132" s="139">
        <v>0</v>
      </c>
      <c r="M132" s="146" t="e">
        <f>L132*#REF!</f>
        <v>#REF!</v>
      </c>
    </row>
    <row r="133" spans="1:13" s="29" customFormat="1" ht="35.1" customHeight="1" x14ac:dyDescent="0.3">
      <c r="A133" s="21"/>
      <c r="B133" s="22"/>
      <c r="C133" s="23"/>
      <c r="D133" s="24" t="s">
        <v>353</v>
      </c>
      <c r="E133" s="25">
        <f>E129*5</f>
        <v>119.02612264999988</v>
      </c>
      <c r="F133" s="26" t="s">
        <v>17</v>
      </c>
      <c r="G133" s="27"/>
      <c r="H133" s="20"/>
      <c r="J133" s="140"/>
      <c r="K133" s="145"/>
      <c r="L133" s="140"/>
      <c r="M133" s="149"/>
    </row>
    <row r="134" spans="1:13" s="29" customFormat="1" ht="35.1" customHeight="1" x14ac:dyDescent="0.3">
      <c r="A134" s="21"/>
      <c r="B134" s="22"/>
      <c r="C134" s="23"/>
      <c r="D134" s="96"/>
      <c r="E134" s="25"/>
      <c r="F134" s="26"/>
      <c r="G134" s="27"/>
      <c r="H134" s="20"/>
      <c r="J134" s="140"/>
      <c r="K134" s="145"/>
      <c r="L134" s="140"/>
      <c r="M134" s="149"/>
    </row>
    <row r="135" spans="1:13" s="4" customFormat="1" ht="35.1" customHeight="1" x14ac:dyDescent="0.3">
      <c r="A135" s="13">
        <v>14</v>
      </c>
      <c r="B135" s="14" t="s">
        <v>12</v>
      </c>
      <c r="C135" s="15" t="s">
        <v>38</v>
      </c>
      <c r="D135" s="16" t="s">
        <v>39</v>
      </c>
      <c r="E135" s="17">
        <f>E129</f>
        <v>23.805224529999975</v>
      </c>
      <c r="F135" s="18" t="s">
        <v>17</v>
      </c>
      <c r="G135" s="19"/>
      <c r="H135" s="20">
        <f t="shared" si="4"/>
        <v>0</v>
      </c>
      <c r="J135" s="139">
        <v>0</v>
      </c>
      <c r="K135" s="145">
        <f t="shared" si="6"/>
        <v>0</v>
      </c>
      <c r="L135" s="139">
        <v>0</v>
      </c>
      <c r="M135" s="146" t="e">
        <f>L135*#REF!</f>
        <v>#REF!</v>
      </c>
    </row>
    <row r="136" spans="1:13" s="29" customFormat="1" ht="35.1" customHeight="1" x14ac:dyDescent="0.3">
      <c r="A136" s="21"/>
      <c r="B136" s="22"/>
      <c r="C136" s="23"/>
      <c r="D136" s="24"/>
      <c r="E136" s="25"/>
      <c r="F136" s="26"/>
      <c r="G136" s="27"/>
      <c r="H136" s="20"/>
      <c r="J136" s="140"/>
      <c r="K136" s="145"/>
      <c r="L136" s="140"/>
      <c r="M136" s="149"/>
    </row>
    <row r="137" spans="1:13" s="4" customFormat="1" ht="35.1" customHeight="1" x14ac:dyDescent="0.3">
      <c r="A137" s="13">
        <v>15</v>
      </c>
      <c r="B137" s="14" t="s">
        <v>12</v>
      </c>
      <c r="C137" s="15" t="s">
        <v>40</v>
      </c>
      <c r="D137" s="16" t="s">
        <v>41</v>
      </c>
      <c r="E137" s="17">
        <f>E135*1.9</f>
        <v>45.229926606999953</v>
      </c>
      <c r="F137" s="18" t="s">
        <v>42</v>
      </c>
      <c r="G137" s="19"/>
      <c r="H137" s="20">
        <f t="shared" ref="H137:H199" si="7">E137*G137</f>
        <v>0</v>
      </c>
      <c r="J137" s="139">
        <v>0</v>
      </c>
      <c r="K137" s="145">
        <f t="shared" si="6"/>
        <v>0</v>
      </c>
      <c r="L137" s="139">
        <v>0</v>
      </c>
      <c r="M137" s="146" t="e">
        <f>L137*#REF!</f>
        <v>#REF!</v>
      </c>
    </row>
    <row r="138" spans="1:13" s="4" customFormat="1" ht="35.1" customHeight="1" x14ac:dyDescent="0.3">
      <c r="A138" s="13"/>
      <c r="B138" s="14"/>
      <c r="C138" s="15"/>
      <c r="D138" s="16"/>
      <c r="E138" s="17"/>
      <c r="F138" s="18"/>
      <c r="G138" s="19"/>
      <c r="H138" s="20"/>
      <c r="J138" s="139"/>
      <c r="K138" s="145"/>
      <c r="L138" s="139"/>
      <c r="M138" s="146"/>
    </row>
    <row r="139" spans="1:13" s="4" customFormat="1" ht="35.1" customHeight="1" x14ac:dyDescent="0.3">
      <c r="A139" s="13">
        <v>16</v>
      </c>
      <c r="B139" s="14" t="s">
        <v>12</v>
      </c>
      <c r="C139" s="15" t="s">
        <v>43</v>
      </c>
      <c r="D139" s="16" t="s">
        <v>44</v>
      </c>
      <c r="E139" s="17">
        <f>E183</f>
        <v>127.94827547</v>
      </c>
      <c r="F139" s="18" t="s">
        <v>17</v>
      </c>
      <c r="G139" s="19"/>
      <c r="H139" s="20">
        <f t="shared" si="7"/>
        <v>0</v>
      </c>
      <c r="J139" s="139">
        <v>0</v>
      </c>
      <c r="K139" s="145">
        <f t="shared" si="6"/>
        <v>0</v>
      </c>
      <c r="L139" s="139">
        <v>0</v>
      </c>
      <c r="M139" s="164" t="e">
        <f>L139*#REF!</f>
        <v>#REF!</v>
      </c>
    </row>
    <row r="140" spans="1:13" s="4" customFormat="1" ht="35.1" customHeight="1" x14ac:dyDescent="0.3">
      <c r="A140" s="13"/>
      <c r="B140" s="14"/>
      <c r="C140" s="15"/>
      <c r="D140" s="24" t="s">
        <v>228</v>
      </c>
      <c r="E140" s="25"/>
      <c r="F140" s="26"/>
      <c r="G140" s="19"/>
      <c r="H140" s="20"/>
      <c r="J140" s="139"/>
      <c r="K140" s="145"/>
      <c r="L140" s="139"/>
      <c r="M140" s="164"/>
    </row>
    <row r="141" spans="1:13" s="4" customFormat="1" ht="35.1" customHeight="1" x14ac:dyDescent="0.3">
      <c r="A141" s="13"/>
      <c r="B141" s="14"/>
      <c r="C141" s="15"/>
      <c r="D141" s="24" t="s">
        <v>222</v>
      </c>
      <c r="E141" s="25"/>
      <c r="F141" s="26"/>
      <c r="G141" s="19"/>
      <c r="H141" s="20"/>
      <c r="J141" s="139"/>
      <c r="K141" s="145"/>
      <c r="L141" s="139"/>
      <c r="M141" s="164"/>
    </row>
    <row r="142" spans="1:13" s="4" customFormat="1" ht="35.1" customHeight="1" x14ac:dyDescent="0.3">
      <c r="A142" s="13"/>
      <c r="B142" s="14"/>
      <c r="C142" s="15"/>
      <c r="D142" s="24" t="s">
        <v>246</v>
      </c>
      <c r="E142" s="25">
        <f>(0.4+0.3)*1.1*(1.5+3)</f>
        <v>3.4649999999999999</v>
      </c>
      <c r="F142" s="26" t="s">
        <v>17</v>
      </c>
      <c r="G142" s="19"/>
      <c r="H142" s="20"/>
      <c r="J142" s="139"/>
      <c r="K142" s="145"/>
      <c r="L142" s="139"/>
      <c r="M142" s="164"/>
    </row>
    <row r="143" spans="1:13" s="4" customFormat="1" ht="35.1" customHeight="1" x14ac:dyDescent="0.3">
      <c r="A143" s="13"/>
      <c r="B143" s="14"/>
      <c r="C143" s="15"/>
      <c r="D143" s="24" t="s">
        <v>247</v>
      </c>
      <c r="E143" s="25">
        <f>(0.4+0.3)*1.1*(60-1.5)</f>
        <v>45.045000000000002</v>
      </c>
      <c r="F143" s="26" t="s">
        <v>17</v>
      </c>
      <c r="G143" s="19"/>
      <c r="H143" s="20"/>
      <c r="J143" s="139"/>
      <c r="K143" s="145"/>
      <c r="L143" s="139"/>
      <c r="M143" s="164"/>
    </row>
    <row r="144" spans="1:13" s="4" customFormat="1" ht="35.1" customHeight="1" x14ac:dyDescent="0.3">
      <c r="A144" s="13"/>
      <c r="B144" s="14"/>
      <c r="C144" s="15"/>
      <c r="D144" s="24" t="s">
        <v>248</v>
      </c>
      <c r="E144" s="25">
        <f>(0.4+0.3)*1.1*1.5</f>
        <v>1.155</v>
      </c>
      <c r="F144" s="26" t="s">
        <v>17</v>
      </c>
      <c r="G144" s="19"/>
      <c r="H144" s="20"/>
      <c r="J144" s="139"/>
      <c r="K144" s="145"/>
      <c r="L144" s="139"/>
      <c r="M144" s="164"/>
    </row>
    <row r="145" spans="1:13" s="4" customFormat="1" ht="35.1" customHeight="1" x14ac:dyDescent="0.3">
      <c r="A145" s="13"/>
      <c r="B145" s="14"/>
      <c r="C145" s="15"/>
      <c r="D145" s="24" t="s">
        <v>327</v>
      </c>
      <c r="E145" s="25">
        <f>(0.25+0.3)*1.1*9</f>
        <v>5.4450000000000012</v>
      </c>
      <c r="F145" s="26" t="s">
        <v>17</v>
      </c>
      <c r="G145" s="19"/>
      <c r="H145" s="20"/>
      <c r="J145" s="139"/>
      <c r="K145" s="145"/>
      <c r="L145" s="139"/>
      <c r="M145" s="164"/>
    </row>
    <row r="146" spans="1:13" s="4" customFormat="1" ht="35.1" customHeight="1" x14ac:dyDescent="0.3">
      <c r="A146" s="13"/>
      <c r="B146" s="14"/>
      <c r="C146" s="15"/>
      <c r="D146" s="24" t="s">
        <v>326</v>
      </c>
      <c r="E146" s="25">
        <f>(0.25+0.3)*1.1*10</f>
        <v>6.0500000000000007</v>
      </c>
      <c r="F146" s="26" t="s">
        <v>17</v>
      </c>
      <c r="G146" s="19"/>
      <c r="H146" s="20"/>
      <c r="J146" s="139"/>
      <c r="K146" s="145"/>
      <c r="L146" s="139"/>
      <c r="M146" s="164"/>
    </row>
    <row r="147" spans="1:13" s="4" customFormat="1" ht="35.1" customHeight="1" x14ac:dyDescent="0.3">
      <c r="A147" s="13"/>
      <c r="B147" s="14"/>
      <c r="C147" s="15"/>
      <c r="D147" s="24" t="s">
        <v>315</v>
      </c>
      <c r="E147" s="25"/>
      <c r="F147" s="26"/>
      <c r="G147" s="19"/>
      <c r="H147" s="20"/>
      <c r="J147" s="139"/>
      <c r="K147" s="145"/>
      <c r="L147" s="139"/>
      <c r="M147" s="164"/>
    </row>
    <row r="148" spans="1:13" s="4" customFormat="1" ht="35.1" customHeight="1" x14ac:dyDescent="0.3">
      <c r="A148" s="13"/>
      <c r="B148" s="14"/>
      <c r="C148" s="15"/>
      <c r="D148" s="24" t="s">
        <v>419</v>
      </c>
      <c r="E148" s="25">
        <f>(0.15+0.3)*1*(4.3+4.7+4.4+5-4*1.5)</f>
        <v>5.5799999999999992</v>
      </c>
      <c r="F148" s="26" t="s">
        <v>17</v>
      </c>
      <c r="G148" s="19"/>
      <c r="H148" s="20"/>
      <c r="J148" s="139"/>
      <c r="K148" s="145"/>
      <c r="L148" s="139"/>
      <c r="M148" s="164"/>
    </row>
    <row r="149" spans="1:13" s="4" customFormat="1" ht="35.1" customHeight="1" x14ac:dyDescent="0.3">
      <c r="A149" s="13"/>
      <c r="B149" s="14"/>
      <c r="C149" s="15"/>
      <c r="D149" s="24" t="s">
        <v>420</v>
      </c>
      <c r="E149" s="25">
        <f>5*(0.15+0.3)*1*2</f>
        <v>4.5</v>
      </c>
      <c r="F149" s="26" t="s">
        <v>17</v>
      </c>
      <c r="G149" s="19"/>
      <c r="H149" s="20"/>
      <c r="J149" s="139"/>
      <c r="K149" s="145"/>
      <c r="L149" s="139"/>
      <c r="M149" s="164"/>
    </row>
    <row r="150" spans="1:13" s="4" customFormat="1" ht="35.1" customHeight="1" x14ac:dyDescent="0.3">
      <c r="A150" s="13"/>
      <c r="B150" s="14"/>
      <c r="C150" s="15"/>
      <c r="D150" s="24" t="s">
        <v>328</v>
      </c>
      <c r="E150" s="25">
        <f>(0.15+0.3)*1*(3.6-1.5)</f>
        <v>0.94499999999999995</v>
      </c>
      <c r="F150" s="26" t="s">
        <v>17</v>
      </c>
      <c r="G150" s="19"/>
      <c r="H150" s="20"/>
      <c r="J150" s="139"/>
      <c r="K150" s="145"/>
      <c r="L150" s="139"/>
      <c r="M150" s="164"/>
    </row>
    <row r="151" spans="1:13" s="4" customFormat="1" ht="35.1" customHeight="1" x14ac:dyDescent="0.3">
      <c r="A151" s="13"/>
      <c r="B151" s="14"/>
      <c r="C151" s="15"/>
      <c r="D151" s="24" t="s">
        <v>410</v>
      </c>
      <c r="E151" s="25">
        <f>(0.15+0.3)*1*2</f>
        <v>0.89999999999999991</v>
      </c>
      <c r="F151" s="26" t="s">
        <v>17</v>
      </c>
      <c r="G151" s="19"/>
      <c r="H151" s="20"/>
      <c r="J151" s="139"/>
      <c r="K151" s="145"/>
      <c r="L151" s="139"/>
      <c r="M151" s="164"/>
    </row>
    <row r="152" spans="1:13" s="4" customFormat="1" ht="35.1" customHeight="1" x14ac:dyDescent="0.3">
      <c r="A152" s="13"/>
      <c r="B152" s="14"/>
      <c r="C152" s="15"/>
      <c r="D152" s="121" t="s">
        <v>221</v>
      </c>
      <c r="E152" s="122">
        <f>SUM(E142:E151)</f>
        <v>73.085000000000008</v>
      </c>
      <c r="F152" s="123" t="s">
        <v>17</v>
      </c>
      <c r="G152" s="19"/>
      <c r="H152" s="20"/>
      <c r="J152" s="139"/>
      <c r="K152" s="145"/>
      <c r="L152" s="139"/>
      <c r="M152" s="164"/>
    </row>
    <row r="153" spans="1:13" s="4" customFormat="1" ht="35.1" customHeight="1" x14ac:dyDescent="0.3">
      <c r="A153" s="13"/>
      <c r="B153" s="14"/>
      <c r="C153" s="15"/>
      <c r="D153" s="24"/>
      <c r="E153" s="25"/>
      <c r="F153" s="26"/>
      <c r="G153" s="19"/>
      <c r="H153" s="20"/>
      <c r="J153" s="139"/>
      <c r="K153" s="145"/>
      <c r="L153" s="139"/>
      <c r="M153" s="164"/>
    </row>
    <row r="154" spans="1:13" s="4" customFormat="1" ht="35.1" customHeight="1" x14ac:dyDescent="0.3">
      <c r="A154" s="13"/>
      <c r="B154" s="14"/>
      <c r="C154" s="15"/>
      <c r="D154" s="24" t="s">
        <v>237</v>
      </c>
      <c r="E154" s="25"/>
      <c r="F154" s="26"/>
      <c r="G154" s="19"/>
      <c r="H154" s="20"/>
      <c r="J154" s="139"/>
      <c r="K154" s="145"/>
      <c r="L154" s="139"/>
      <c r="M154" s="164"/>
    </row>
    <row r="155" spans="1:13" s="4" customFormat="1" ht="35.1" customHeight="1" x14ac:dyDescent="0.3">
      <c r="A155" s="13"/>
      <c r="B155" s="14"/>
      <c r="C155" s="15"/>
      <c r="D155" s="24" t="s">
        <v>332</v>
      </c>
      <c r="E155" s="25">
        <f>(0.2+0.3)*0.7*75</f>
        <v>26.25</v>
      </c>
      <c r="F155" s="26" t="s">
        <v>17</v>
      </c>
      <c r="G155" s="19"/>
      <c r="H155" s="20"/>
      <c r="J155" s="139"/>
      <c r="K155" s="145"/>
      <c r="L155" s="139"/>
      <c r="M155" s="164"/>
    </row>
    <row r="156" spans="1:13" s="4" customFormat="1" ht="35.1" customHeight="1" x14ac:dyDescent="0.3">
      <c r="A156" s="13"/>
      <c r="B156" s="14"/>
      <c r="C156" s="15"/>
      <c r="D156" s="24" t="s">
        <v>333</v>
      </c>
      <c r="E156" s="25">
        <f>(0.2+0.3)*0.7*(5+5)</f>
        <v>3.5</v>
      </c>
      <c r="F156" s="26" t="s">
        <v>17</v>
      </c>
      <c r="G156" s="19"/>
      <c r="H156" s="20"/>
      <c r="J156" s="139"/>
      <c r="K156" s="145"/>
      <c r="L156" s="139"/>
      <c r="M156" s="164"/>
    </row>
    <row r="157" spans="1:13" s="4" customFormat="1" ht="35.1" customHeight="1" x14ac:dyDescent="0.3">
      <c r="A157" s="13"/>
      <c r="B157" s="14"/>
      <c r="C157" s="15"/>
      <c r="D157" s="24" t="s">
        <v>334</v>
      </c>
      <c r="E157" s="25">
        <f>(0.2+0.3)*0.7*2</f>
        <v>0.7</v>
      </c>
      <c r="F157" s="26" t="s">
        <v>17</v>
      </c>
      <c r="G157" s="19"/>
      <c r="H157" s="20"/>
      <c r="J157" s="139"/>
      <c r="K157" s="145"/>
      <c r="L157" s="139"/>
      <c r="M157" s="164"/>
    </row>
    <row r="158" spans="1:13" s="4" customFormat="1" ht="35.1" customHeight="1" x14ac:dyDescent="0.3">
      <c r="A158" s="13"/>
      <c r="B158" s="14"/>
      <c r="C158" s="15"/>
      <c r="D158" s="24" t="s">
        <v>335</v>
      </c>
      <c r="E158" s="25">
        <f>(0.2+0.3)*0.7*5</f>
        <v>1.75</v>
      </c>
      <c r="F158" s="26" t="s">
        <v>17</v>
      </c>
      <c r="G158" s="19"/>
      <c r="H158" s="20"/>
      <c r="J158" s="139"/>
      <c r="K158" s="145"/>
      <c r="L158" s="139"/>
      <c r="M158" s="164"/>
    </row>
    <row r="159" spans="1:13" s="4" customFormat="1" ht="35.1" customHeight="1" x14ac:dyDescent="0.3">
      <c r="A159" s="13"/>
      <c r="B159" s="14"/>
      <c r="C159" s="15"/>
      <c r="D159" s="24" t="s">
        <v>239</v>
      </c>
      <c r="E159" s="25"/>
      <c r="F159" s="26"/>
      <c r="G159" s="19"/>
      <c r="H159" s="20"/>
      <c r="J159" s="139"/>
      <c r="K159" s="145"/>
      <c r="L159" s="139"/>
      <c r="M159" s="164"/>
    </row>
    <row r="160" spans="1:13" s="4" customFormat="1" ht="35.1" customHeight="1" x14ac:dyDescent="0.3">
      <c r="A160" s="13"/>
      <c r="B160" s="14"/>
      <c r="C160" s="15"/>
      <c r="D160" s="90" t="s">
        <v>555</v>
      </c>
      <c r="E160" s="91">
        <f>(0.05+0.3)*1*(4.3+4.7+4.4-3*0.5)</f>
        <v>4.165</v>
      </c>
      <c r="F160" s="92" t="s">
        <v>17</v>
      </c>
      <c r="G160" s="19"/>
      <c r="H160" s="20"/>
      <c r="J160" s="139"/>
      <c r="K160" s="145"/>
      <c r="L160" s="139"/>
      <c r="M160" s="164"/>
    </row>
    <row r="161" spans="1:13" s="4" customFormat="1" ht="35.1" customHeight="1" x14ac:dyDescent="0.3">
      <c r="A161" s="13"/>
      <c r="B161" s="14"/>
      <c r="C161" s="15"/>
      <c r="D161" s="90" t="s">
        <v>556</v>
      </c>
      <c r="E161" s="91">
        <f>4*(0.05+0.3)*1*2</f>
        <v>2.8</v>
      </c>
      <c r="F161" s="92" t="s">
        <v>17</v>
      </c>
      <c r="G161" s="19"/>
      <c r="H161" s="20"/>
      <c r="J161" s="139"/>
      <c r="K161" s="145"/>
      <c r="L161" s="139"/>
      <c r="M161" s="164"/>
    </row>
    <row r="162" spans="1:13" s="4" customFormat="1" ht="35.1" customHeight="1" x14ac:dyDescent="0.3">
      <c r="A162" s="13"/>
      <c r="B162" s="14"/>
      <c r="C162" s="15"/>
      <c r="D162" s="90" t="s">
        <v>336</v>
      </c>
      <c r="E162" s="91">
        <f>(0.05+0.3)*1*(3.6-0.5)</f>
        <v>1.085</v>
      </c>
      <c r="F162" s="92" t="s">
        <v>17</v>
      </c>
      <c r="G162" s="19"/>
      <c r="H162" s="20"/>
      <c r="J162" s="139"/>
      <c r="K162" s="145"/>
      <c r="L162" s="139"/>
      <c r="M162" s="164"/>
    </row>
    <row r="163" spans="1:13" s="4" customFormat="1" ht="35.1" customHeight="1" x14ac:dyDescent="0.3">
      <c r="A163" s="13"/>
      <c r="B163" s="14"/>
      <c r="C163" s="15"/>
      <c r="D163" s="121" t="s">
        <v>220</v>
      </c>
      <c r="E163" s="122">
        <f>SUM(E155:E162)</f>
        <v>40.25</v>
      </c>
      <c r="F163" s="123" t="s">
        <v>17</v>
      </c>
      <c r="G163" s="19"/>
      <c r="H163" s="20"/>
      <c r="J163" s="139"/>
      <c r="K163" s="145"/>
      <c r="L163" s="139"/>
      <c r="M163" s="164"/>
    </row>
    <row r="164" spans="1:13" s="4" customFormat="1" ht="35.1" customHeight="1" x14ac:dyDescent="0.3">
      <c r="A164" s="13"/>
      <c r="B164" s="14"/>
      <c r="C164" s="15"/>
      <c r="D164" s="90"/>
      <c r="E164" s="91"/>
      <c r="F164" s="92"/>
      <c r="G164" s="19"/>
      <c r="H164" s="20"/>
      <c r="J164" s="139"/>
      <c r="K164" s="145"/>
      <c r="L164" s="139"/>
      <c r="M164" s="164"/>
    </row>
    <row r="165" spans="1:13" s="4" customFormat="1" ht="35.1" customHeight="1" x14ac:dyDescent="0.3">
      <c r="A165" s="13"/>
      <c r="B165" s="14"/>
      <c r="C165" s="15"/>
      <c r="D165" s="24" t="s">
        <v>440</v>
      </c>
      <c r="E165" s="25">
        <f>(2.4-0.55)*2.5*4.5</f>
        <v>20.8125</v>
      </c>
      <c r="F165" s="26" t="s">
        <v>17</v>
      </c>
      <c r="G165" s="19"/>
      <c r="H165" s="20"/>
      <c r="J165" s="139"/>
      <c r="K165" s="145"/>
      <c r="L165" s="139"/>
      <c r="M165" s="164"/>
    </row>
    <row r="166" spans="1:13" s="4" customFormat="1" ht="35.1" customHeight="1" x14ac:dyDescent="0.3">
      <c r="A166" s="13"/>
      <c r="B166" s="14"/>
      <c r="C166" s="15"/>
      <c r="D166" s="24" t="s">
        <v>441</v>
      </c>
      <c r="E166" s="25">
        <f>-(2.4-0.55)*3.14*1*1/4</f>
        <v>-1.45225</v>
      </c>
      <c r="F166" s="26" t="s">
        <v>17</v>
      </c>
      <c r="G166" s="19"/>
      <c r="H166" s="20"/>
      <c r="J166" s="139"/>
      <c r="K166" s="145"/>
      <c r="L166" s="139"/>
      <c r="M166" s="164"/>
    </row>
    <row r="167" spans="1:13" s="4" customFormat="1" ht="35.1" customHeight="1" x14ac:dyDescent="0.3">
      <c r="A167" s="13"/>
      <c r="B167" s="14"/>
      <c r="C167" s="15"/>
      <c r="D167" s="24" t="s">
        <v>442</v>
      </c>
      <c r="E167" s="25">
        <f>(1.75-0.55)*2*1</f>
        <v>2.4</v>
      </c>
      <c r="F167" s="26" t="s">
        <v>17</v>
      </c>
      <c r="G167" s="19"/>
      <c r="H167" s="20"/>
      <c r="J167" s="139"/>
      <c r="K167" s="145"/>
      <c r="L167" s="139"/>
      <c r="M167" s="164"/>
    </row>
    <row r="168" spans="1:13" s="4" customFormat="1" ht="35.1" customHeight="1" x14ac:dyDescent="0.3">
      <c r="A168" s="13"/>
      <c r="B168" s="14"/>
      <c r="C168" s="15"/>
      <c r="D168" s="24" t="s">
        <v>443</v>
      </c>
      <c r="E168" s="25">
        <f>-(1.75-0.55)*3.14*1*1/4</f>
        <v>-0.94199999999999995</v>
      </c>
      <c r="F168" s="26" t="s">
        <v>17</v>
      </c>
      <c r="G168" s="19"/>
      <c r="H168" s="20"/>
      <c r="J168" s="139"/>
      <c r="K168" s="145"/>
      <c r="L168" s="139"/>
      <c r="M168" s="164"/>
    </row>
    <row r="169" spans="1:13" s="4" customFormat="1" ht="35.1" customHeight="1" x14ac:dyDescent="0.3">
      <c r="A169" s="13"/>
      <c r="B169" s="14"/>
      <c r="C169" s="15"/>
      <c r="D169" s="24" t="s">
        <v>444</v>
      </c>
      <c r="E169" s="25">
        <f>(1.75-0.55)*1.5*1.5</f>
        <v>2.6999999999999997</v>
      </c>
      <c r="F169" s="26" t="s">
        <v>17</v>
      </c>
      <c r="G169" s="19"/>
      <c r="H169" s="20"/>
      <c r="J169" s="139"/>
      <c r="K169" s="145"/>
      <c r="L169" s="139"/>
      <c r="M169" s="164"/>
    </row>
    <row r="170" spans="1:13" s="4" customFormat="1" ht="35.1" customHeight="1" x14ac:dyDescent="0.3">
      <c r="A170" s="13"/>
      <c r="B170" s="14"/>
      <c r="C170" s="15"/>
      <c r="D170" s="24" t="s">
        <v>445</v>
      </c>
      <c r="E170" s="25">
        <f>-3.14*0.6*0.6/4*(1.75-0.55)</f>
        <v>-0.33911999999999992</v>
      </c>
      <c r="F170" s="26" t="s">
        <v>17</v>
      </c>
      <c r="G170" s="19"/>
      <c r="H170" s="20"/>
      <c r="J170" s="139"/>
      <c r="K170" s="145"/>
      <c r="L170" s="139"/>
      <c r="M170" s="164"/>
    </row>
    <row r="171" spans="1:13" s="4" customFormat="1" ht="35.1" customHeight="1" x14ac:dyDescent="0.3">
      <c r="A171" s="13"/>
      <c r="B171" s="14"/>
      <c r="C171" s="15"/>
      <c r="D171" s="24" t="s">
        <v>316</v>
      </c>
      <c r="E171" s="25">
        <f>2*2*1*1</f>
        <v>4</v>
      </c>
      <c r="F171" s="26" t="s">
        <v>17</v>
      </c>
      <c r="G171" s="19"/>
      <c r="H171" s="20"/>
      <c r="J171" s="139"/>
      <c r="K171" s="145"/>
      <c r="L171" s="139"/>
      <c r="M171" s="164"/>
    </row>
    <row r="172" spans="1:13" s="4" customFormat="1" ht="35.1" customHeight="1" x14ac:dyDescent="0.3">
      <c r="A172" s="13"/>
      <c r="B172" s="14"/>
      <c r="C172" s="15"/>
      <c r="D172" s="24" t="s">
        <v>337</v>
      </c>
      <c r="E172" s="25">
        <f>-E171/2</f>
        <v>-2</v>
      </c>
      <c r="F172" s="26" t="s">
        <v>17</v>
      </c>
      <c r="G172" s="19"/>
      <c r="H172" s="20"/>
      <c r="J172" s="139"/>
      <c r="K172" s="145"/>
      <c r="L172" s="139"/>
      <c r="M172" s="164"/>
    </row>
    <row r="173" spans="1:13" s="4" customFormat="1" ht="35.1" customHeight="1" x14ac:dyDescent="0.3">
      <c r="A173" s="13"/>
      <c r="B173" s="14"/>
      <c r="C173" s="15"/>
      <c r="D173" s="24" t="s">
        <v>317</v>
      </c>
      <c r="E173" s="25">
        <f>2*1*1</f>
        <v>2</v>
      </c>
      <c r="F173" s="26" t="s">
        <v>17</v>
      </c>
      <c r="G173" s="19"/>
      <c r="H173" s="20"/>
      <c r="J173" s="139"/>
      <c r="K173" s="145"/>
      <c r="L173" s="139"/>
      <c r="M173" s="164"/>
    </row>
    <row r="174" spans="1:13" s="4" customFormat="1" ht="35.1" customHeight="1" x14ac:dyDescent="0.3">
      <c r="A174" s="13"/>
      <c r="B174" s="14"/>
      <c r="C174" s="15"/>
      <c r="D174" s="121" t="s">
        <v>245</v>
      </c>
      <c r="E174" s="122">
        <f>SUM(E165:E173)</f>
        <v>27.179129999999997</v>
      </c>
      <c r="F174" s="123" t="s">
        <v>17</v>
      </c>
      <c r="G174" s="19"/>
      <c r="H174" s="20"/>
      <c r="J174" s="139"/>
      <c r="K174" s="145"/>
      <c r="L174" s="139"/>
      <c r="M174" s="164"/>
    </row>
    <row r="175" spans="1:13" s="4" customFormat="1" ht="35.1" customHeight="1" x14ac:dyDescent="0.3">
      <c r="A175" s="13"/>
      <c r="B175" s="14"/>
      <c r="C175" s="15"/>
      <c r="D175" s="16"/>
      <c r="E175" s="17"/>
      <c r="F175" s="18"/>
      <c r="G175" s="19"/>
      <c r="H175" s="20"/>
      <c r="J175" s="139"/>
      <c r="K175" s="145"/>
      <c r="L175" s="139"/>
      <c r="M175" s="164"/>
    </row>
    <row r="176" spans="1:13" s="4" customFormat="1" ht="35.1" customHeight="1" x14ac:dyDescent="0.3">
      <c r="A176" s="87"/>
      <c r="B176" s="88"/>
      <c r="C176" s="89"/>
      <c r="D176" s="90" t="s">
        <v>249</v>
      </c>
      <c r="E176" s="91">
        <f>-3.14*0.4*0.4/4*(1.5+3+60-1.5+1.5+9+10)</f>
        <v>-10.487600000000002</v>
      </c>
      <c r="F176" s="92" t="s">
        <v>17</v>
      </c>
      <c r="G176" s="99"/>
      <c r="H176" s="20"/>
      <c r="J176" s="139"/>
      <c r="K176" s="145"/>
      <c r="L176" s="139"/>
      <c r="M176" s="146"/>
    </row>
    <row r="177" spans="1:13" s="4" customFormat="1" ht="35.1" customHeight="1" x14ac:dyDescent="0.3">
      <c r="A177" s="87"/>
      <c r="B177" s="88"/>
      <c r="C177" s="89"/>
      <c r="D177" s="90" t="s">
        <v>421</v>
      </c>
      <c r="E177" s="91">
        <f>-3.14*0.15*0.15/4*(4.3+4.7+4.4+3.6+5-5*1.5)</f>
        <v>-0.25610624999999998</v>
      </c>
      <c r="F177" s="92" t="s">
        <v>17</v>
      </c>
      <c r="G177" s="99"/>
      <c r="H177" s="20"/>
      <c r="J177" s="139"/>
      <c r="K177" s="145"/>
      <c r="L177" s="139"/>
      <c r="M177" s="146"/>
    </row>
    <row r="178" spans="1:13" s="4" customFormat="1" ht="35.1" customHeight="1" x14ac:dyDescent="0.3">
      <c r="A178" s="87"/>
      <c r="B178" s="88"/>
      <c r="C178" s="89"/>
      <c r="D178" s="90" t="s">
        <v>423</v>
      </c>
      <c r="E178" s="91">
        <f>-3.14*0.15*0.15/4*2</f>
        <v>-3.5324999999999995E-2</v>
      </c>
      <c r="F178" s="92" t="s">
        <v>17</v>
      </c>
      <c r="G178" s="99"/>
      <c r="H178" s="20"/>
      <c r="J178" s="139"/>
      <c r="K178" s="145"/>
      <c r="L178" s="139"/>
      <c r="M178" s="146"/>
    </row>
    <row r="179" spans="1:13" s="4" customFormat="1" ht="35.1" customHeight="1" x14ac:dyDescent="0.3">
      <c r="A179" s="87"/>
      <c r="B179" s="88"/>
      <c r="C179" s="89"/>
      <c r="D179" s="90" t="s">
        <v>422</v>
      </c>
      <c r="E179" s="91">
        <f>-3.14*0.16*0.16/4*(75+2*5)</f>
        <v>-1.7081600000000003</v>
      </c>
      <c r="F179" s="92" t="s">
        <v>17</v>
      </c>
      <c r="G179" s="99"/>
      <c r="H179" s="20"/>
      <c r="J179" s="139"/>
      <c r="K179" s="145"/>
      <c r="L179" s="139"/>
      <c r="M179" s="146"/>
    </row>
    <row r="180" spans="1:13" s="4" customFormat="1" ht="35.1" customHeight="1" x14ac:dyDescent="0.3">
      <c r="A180" s="87"/>
      <c r="B180" s="88"/>
      <c r="C180" s="89"/>
      <c r="D180" s="90" t="s">
        <v>339</v>
      </c>
      <c r="E180" s="91">
        <f>-3.14*0.1*0.1/4*(2+5)</f>
        <v>-5.4950000000000006E-2</v>
      </c>
      <c r="F180" s="92" t="s">
        <v>17</v>
      </c>
      <c r="G180" s="99"/>
      <c r="H180" s="20"/>
      <c r="J180" s="139"/>
      <c r="K180" s="145"/>
      <c r="L180" s="139"/>
      <c r="M180" s="146"/>
    </row>
    <row r="181" spans="1:13" s="4" customFormat="1" ht="35.1" customHeight="1" x14ac:dyDescent="0.3">
      <c r="A181" s="87"/>
      <c r="B181" s="88"/>
      <c r="C181" s="89"/>
      <c r="D181" s="90" t="s">
        <v>557</v>
      </c>
      <c r="E181" s="91">
        <f>-3.14*0.032*0.032/4*(4.3+4.7+4.4+3.6+5-5*0.5+5*2)</f>
        <v>-2.371328E-2</v>
      </c>
      <c r="F181" s="92" t="s">
        <v>17</v>
      </c>
      <c r="G181" s="99"/>
      <c r="H181" s="20"/>
      <c r="J181" s="139"/>
      <c r="K181" s="145"/>
      <c r="L181" s="139"/>
      <c r="M181" s="146"/>
    </row>
    <row r="182" spans="1:13" s="4" customFormat="1" ht="35.1" customHeight="1" x14ac:dyDescent="0.3">
      <c r="A182" s="87"/>
      <c r="B182" s="88"/>
      <c r="C182" s="89"/>
      <c r="D182" s="121" t="s">
        <v>250</v>
      </c>
      <c r="E182" s="122">
        <f>SUM(E176:E181)</f>
        <v>-12.565854530000003</v>
      </c>
      <c r="F182" s="123" t="s">
        <v>17</v>
      </c>
      <c r="G182" s="99"/>
      <c r="H182" s="20"/>
      <c r="J182" s="139"/>
      <c r="K182" s="145"/>
      <c r="L182" s="139"/>
      <c r="M182" s="146"/>
    </row>
    <row r="183" spans="1:13" s="35" customFormat="1" ht="35.1" customHeight="1" x14ac:dyDescent="0.3">
      <c r="A183" s="30"/>
      <c r="B183" s="22"/>
      <c r="C183" s="31"/>
      <c r="D183" s="121" t="s">
        <v>198</v>
      </c>
      <c r="E183" s="122">
        <f>E152+E163+E174+E182</f>
        <v>127.94827547</v>
      </c>
      <c r="F183" s="123" t="s">
        <v>17</v>
      </c>
      <c r="G183" s="94"/>
      <c r="H183" s="20"/>
      <c r="J183" s="141"/>
      <c r="K183" s="145"/>
      <c r="L183" s="141"/>
      <c r="M183" s="143"/>
    </row>
    <row r="184" spans="1:13" s="35" customFormat="1" ht="35.1" customHeight="1" x14ac:dyDescent="0.3">
      <c r="A184" s="30"/>
      <c r="B184" s="22"/>
      <c r="C184" s="31"/>
      <c r="D184" s="96"/>
      <c r="E184" s="32"/>
      <c r="F184" s="33"/>
      <c r="G184" s="34"/>
      <c r="H184" s="20"/>
      <c r="J184" s="141"/>
      <c r="K184" s="145"/>
      <c r="L184" s="141"/>
      <c r="M184" s="143"/>
    </row>
    <row r="185" spans="1:13" s="4" customFormat="1" ht="35.1" customHeight="1" x14ac:dyDescent="0.3">
      <c r="A185" s="13">
        <v>17</v>
      </c>
      <c r="B185" s="14" t="s">
        <v>12</v>
      </c>
      <c r="C185" s="15" t="s">
        <v>45</v>
      </c>
      <c r="D185" s="16" t="s">
        <v>46</v>
      </c>
      <c r="E185" s="17">
        <f>E186</f>
        <v>31.9870688675</v>
      </c>
      <c r="F185" s="18" t="s">
        <v>17</v>
      </c>
      <c r="G185" s="19"/>
      <c r="H185" s="20">
        <f t="shared" si="7"/>
        <v>0</v>
      </c>
      <c r="J185" s="139">
        <v>0</v>
      </c>
      <c r="K185" s="145">
        <f t="shared" si="6"/>
        <v>0</v>
      </c>
      <c r="L185" s="139">
        <v>0</v>
      </c>
      <c r="M185" s="146" t="e">
        <f>L185*#REF!</f>
        <v>#REF!</v>
      </c>
    </row>
    <row r="186" spans="1:13" s="29" customFormat="1" ht="35.1" customHeight="1" x14ac:dyDescent="0.3">
      <c r="A186" s="21"/>
      <c r="B186" s="22"/>
      <c r="C186" s="23" t="s">
        <v>0</v>
      </c>
      <c r="D186" s="24" t="s">
        <v>559</v>
      </c>
      <c r="E186" s="25">
        <f>E139*0.25</f>
        <v>31.9870688675</v>
      </c>
      <c r="F186" s="26" t="s">
        <v>17</v>
      </c>
      <c r="G186" s="27"/>
      <c r="H186" s="20"/>
      <c r="J186" s="140"/>
      <c r="K186" s="145"/>
      <c r="L186" s="140"/>
      <c r="M186" s="149"/>
    </row>
    <row r="187" spans="1:13" s="29" customFormat="1" ht="35.1" customHeight="1" x14ac:dyDescent="0.3">
      <c r="A187" s="21"/>
      <c r="B187" s="22"/>
      <c r="C187" s="23"/>
      <c r="D187" s="24"/>
      <c r="E187" s="25"/>
      <c r="F187" s="26"/>
      <c r="G187" s="27"/>
      <c r="H187" s="20"/>
      <c r="J187" s="140"/>
      <c r="K187" s="145"/>
      <c r="L187" s="140"/>
      <c r="M187" s="149"/>
    </row>
    <row r="188" spans="1:13" s="4" customFormat="1" ht="35.1" customHeight="1" x14ac:dyDescent="0.3">
      <c r="A188" s="36">
        <v>18</v>
      </c>
      <c r="B188" s="37" t="s">
        <v>47</v>
      </c>
      <c r="C188" s="38" t="s">
        <v>48</v>
      </c>
      <c r="D188" s="39" t="s">
        <v>49</v>
      </c>
      <c r="E188" s="40">
        <f>E139*1.9</f>
        <v>243.10172339299999</v>
      </c>
      <c r="F188" s="41" t="s">
        <v>42</v>
      </c>
      <c r="G188" s="42"/>
      <c r="H188" s="20">
        <f t="shared" si="7"/>
        <v>0</v>
      </c>
      <c r="J188" s="139">
        <v>1</v>
      </c>
      <c r="K188" s="145">
        <f t="shared" si="6"/>
        <v>243.10172339299999</v>
      </c>
      <c r="L188" s="139">
        <v>0</v>
      </c>
      <c r="M188" s="146" t="e">
        <f>L188*#REF!</f>
        <v>#REF!</v>
      </c>
    </row>
    <row r="189" spans="1:13" s="29" customFormat="1" ht="35.1" customHeight="1" x14ac:dyDescent="0.3">
      <c r="A189" s="21"/>
      <c r="B189" s="22"/>
      <c r="C189" s="23"/>
      <c r="D189" s="24" t="s">
        <v>558</v>
      </c>
      <c r="E189" s="25">
        <f>E139*1.9</f>
        <v>243.10172339299999</v>
      </c>
      <c r="F189" s="26" t="s">
        <v>42</v>
      </c>
      <c r="G189" s="27"/>
      <c r="H189" s="20"/>
      <c r="J189" s="140"/>
      <c r="K189" s="145"/>
      <c r="L189" s="140"/>
      <c r="M189" s="149"/>
    </row>
    <row r="190" spans="1:13" s="29" customFormat="1" ht="35.1" customHeight="1" x14ac:dyDescent="0.3">
      <c r="A190" s="21"/>
      <c r="B190" s="22"/>
      <c r="C190" s="23"/>
      <c r="D190" s="24"/>
      <c r="E190" s="25"/>
      <c r="F190" s="26"/>
      <c r="G190" s="27"/>
      <c r="H190" s="20"/>
      <c r="J190" s="140"/>
      <c r="K190" s="145"/>
      <c r="L190" s="140"/>
      <c r="M190" s="149"/>
    </row>
    <row r="191" spans="1:13" s="4" customFormat="1" ht="35.1" customHeight="1" x14ac:dyDescent="0.3">
      <c r="A191" s="13">
        <v>19</v>
      </c>
      <c r="B191" s="14" t="s">
        <v>12</v>
      </c>
      <c r="C191" s="15" t="s">
        <v>50</v>
      </c>
      <c r="D191" s="16" t="s">
        <v>51</v>
      </c>
      <c r="E191" s="17">
        <f>E197</f>
        <v>204.23147453000001</v>
      </c>
      <c r="F191" s="18" t="s">
        <v>17</v>
      </c>
      <c r="G191" s="19"/>
      <c r="H191" s="20">
        <f t="shared" si="7"/>
        <v>0</v>
      </c>
      <c r="J191" s="139">
        <v>0</v>
      </c>
      <c r="K191" s="145">
        <f t="shared" si="6"/>
        <v>0</v>
      </c>
      <c r="L191" s="139">
        <v>0</v>
      </c>
      <c r="M191" s="146" t="e">
        <f>L191*#REF!</f>
        <v>#REF!</v>
      </c>
    </row>
    <row r="192" spans="1:13" s="29" customFormat="1" ht="35.1" customHeight="1" x14ac:dyDescent="0.3">
      <c r="A192" s="21"/>
      <c r="B192" s="22"/>
      <c r="C192" s="23"/>
      <c r="D192" s="24"/>
      <c r="E192" s="25"/>
      <c r="F192" s="26"/>
      <c r="G192" s="27"/>
      <c r="H192" s="20"/>
      <c r="J192" s="140"/>
      <c r="K192" s="145"/>
      <c r="L192" s="140"/>
      <c r="M192" s="149"/>
    </row>
    <row r="193" spans="1:13" s="29" customFormat="1" ht="35.1" customHeight="1" x14ac:dyDescent="0.3">
      <c r="A193" s="21"/>
      <c r="B193" s="22"/>
      <c r="C193" s="23"/>
      <c r="D193" s="24" t="s">
        <v>229</v>
      </c>
      <c r="E193" s="25">
        <f>E45</f>
        <v>352.01625000000001</v>
      </c>
      <c r="F193" s="26" t="s">
        <v>17</v>
      </c>
      <c r="G193" s="27"/>
      <c r="H193" s="20"/>
      <c r="J193" s="140"/>
      <c r="K193" s="145"/>
      <c r="L193" s="140"/>
      <c r="M193" s="149"/>
    </row>
    <row r="194" spans="1:13" s="29" customFormat="1" ht="35.1" customHeight="1" x14ac:dyDescent="0.3">
      <c r="A194" s="21"/>
      <c r="B194" s="22"/>
      <c r="C194" s="23"/>
      <c r="D194" s="24" t="s">
        <v>230</v>
      </c>
      <c r="E194" s="25">
        <f>E75</f>
        <v>24.113500000000002</v>
      </c>
      <c r="F194" s="26" t="s">
        <v>17</v>
      </c>
      <c r="G194" s="27"/>
      <c r="H194" s="20"/>
      <c r="J194" s="140"/>
      <c r="K194" s="145"/>
      <c r="L194" s="140"/>
      <c r="M194" s="149"/>
    </row>
    <row r="195" spans="1:13" s="29" customFormat="1" ht="35.1" customHeight="1" x14ac:dyDescent="0.3">
      <c r="A195" s="21"/>
      <c r="B195" s="22"/>
      <c r="C195" s="23"/>
      <c r="D195" s="24" t="s">
        <v>176</v>
      </c>
      <c r="E195" s="25">
        <f>-E237</f>
        <v>-43.95</v>
      </c>
      <c r="F195" s="26" t="s">
        <v>17</v>
      </c>
      <c r="G195" s="27"/>
      <c r="H195" s="20"/>
      <c r="J195" s="140"/>
      <c r="K195" s="145"/>
      <c r="L195" s="140"/>
      <c r="M195" s="149"/>
    </row>
    <row r="196" spans="1:13" s="29" customFormat="1" ht="35.1" customHeight="1" x14ac:dyDescent="0.3">
      <c r="A196" s="21"/>
      <c r="B196" s="22"/>
      <c r="C196" s="23"/>
      <c r="D196" s="24" t="s">
        <v>177</v>
      </c>
      <c r="E196" s="25">
        <f>-E139</f>
        <v>-127.94827547</v>
      </c>
      <c r="F196" s="26" t="s">
        <v>17</v>
      </c>
      <c r="G196" s="27"/>
      <c r="H196" s="20"/>
      <c r="J196" s="140"/>
      <c r="K196" s="145"/>
      <c r="L196" s="140"/>
      <c r="M196" s="149"/>
    </row>
    <row r="197" spans="1:13" s="29" customFormat="1" ht="35.1" customHeight="1" x14ac:dyDescent="0.3">
      <c r="A197" s="21"/>
      <c r="B197" s="22"/>
      <c r="C197" s="23"/>
      <c r="D197" s="121" t="s">
        <v>18</v>
      </c>
      <c r="E197" s="122">
        <f>SUM(E193:E196)</f>
        <v>204.23147453000001</v>
      </c>
      <c r="F197" s="123" t="s">
        <v>17</v>
      </c>
      <c r="G197" s="109"/>
      <c r="H197" s="20"/>
      <c r="J197" s="140"/>
      <c r="K197" s="145"/>
      <c r="L197" s="140"/>
      <c r="M197" s="149"/>
    </row>
    <row r="198" spans="1:13" s="29" customFormat="1" ht="35.1" customHeight="1" x14ac:dyDescent="0.3">
      <c r="A198" s="21"/>
      <c r="B198" s="22"/>
      <c r="C198" s="23"/>
      <c r="D198" s="24"/>
      <c r="E198" s="25"/>
      <c r="F198" s="26"/>
      <c r="G198" s="27"/>
      <c r="H198" s="20"/>
      <c r="J198" s="140"/>
      <c r="K198" s="145"/>
      <c r="L198" s="140"/>
      <c r="M198" s="149"/>
    </row>
    <row r="199" spans="1:13" s="4" customFormat="1" ht="35.1" customHeight="1" x14ac:dyDescent="0.3">
      <c r="A199" s="36">
        <v>20</v>
      </c>
      <c r="B199" s="37" t="s">
        <v>47</v>
      </c>
      <c r="C199" s="38" t="s">
        <v>52</v>
      </c>
      <c r="D199" s="39" t="s">
        <v>53</v>
      </c>
      <c r="E199" s="40">
        <f>E218</f>
        <v>45.229499999999994</v>
      </c>
      <c r="F199" s="41" t="s">
        <v>42</v>
      </c>
      <c r="G199" s="42"/>
      <c r="H199" s="20">
        <f t="shared" si="7"/>
        <v>0</v>
      </c>
      <c r="J199" s="139">
        <v>1</v>
      </c>
      <c r="K199" s="145">
        <f t="shared" ref="K199:K287" si="8">E199*J199</f>
        <v>45.229499999999994</v>
      </c>
      <c r="L199" s="139">
        <v>0</v>
      </c>
      <c r="M199" s="146" t="e">
        <f>L199*#REF!</f>
        <v>#REF!</v>
      </c>
    </row>
    <row r="200" spans="1:13" s="29" customFormat="1" ht="35.1" customHeight="1" x14ac:dyDescent="0.3">
      <c r="A200" s="21"/>
      <c r="B200" s="22"/>
      <c r="C200" s="23"/>
      <c r="D200" s="121" t="s">
        <v>513</v>
      </c>
      <c r="E200" s="122">
        <f>E191</f>
        <v>204.23147453000001</v>
      </c>
      <c r="F200" s="123" t="s">
        <v>17</v>
      </c>
      <c r="G200" s="27"/>
      <c r="H200" s="20"/>
      <c r="J200" s="140"/>
      <c r="K200" s="145"/>
      <c r="L200" s="140"/>
      <c r="M200" s="149"/>
    </row>
    <row r="201" spans="1:13" s="29" customFormat="1" ht="35.1" customHeight="1" x14ac:dyDescent="0.3">
      <c r="A201" s="21"/>
      <c r="B201" s="22"/>
      <c r="C201" s="23"/>
      <c r="D201" s="24" t="s">
        <v>514</v>
      </c>
      <c r="E201" s="25"/>
      <c r="F201" s="26"/>
      <c r="G201" s="27"/>
      <c r="H201" s="20"/>
      <c r="J201" s="140"/>
      <c r="K201" s="145"/>
      <c r="L201" s="140"/>
      <c r="M201" s="149"/>
    </row>
    <row r="202" spans="1:13" s="4" customFormat="1" ht="35.1" customHeight="1" x14ac:dyDescent="0.3">
      <c r="A202" s="36"/>
      <c r="B202" s="37"/>
      <c r="C202" s="38"/>
      <c r="D202" s="24" t="s">
        <v>515</v>
      </c>
      <c r="E202" s="25">
        <f>-((1.75+2.4)/2-(0.1+0.1+0.4+0.3))*1.1*(60-1.5)</f>
        <v>-75.611250000000013</v>
      </c>
      <c r="F202" s="26" t="s">
        <v>17</v>
      </c>
      <c r="G202" s="42"/>
      <c r="H202" s="20"/>
      <c r="J202" s="139"/>
      <c r="K202" s="145"/>
      <c r="L202" s="139"/>
      <c r="M202" s="146"/>
    </row>
    <row r="203" spans="1:13" s="4" customFormat="1" ht="35.1" customHeight="1" x14ac:dyDescent="0.3">
      <c r="A203" s="36"/>
      <c r="B203" s="37"/>
      <c r="C203" s="38"/>
      <c r="D203" s="24" t="s">
        <v>516</v>
      </c>
      <c r="E203" s="25">
        <f>-(2.4-(0.1+0.1+0.1+0.4+0.3))*1.1*1.5</f>
        <v>-2.31</v>
      </c>
      <c r="F203" s="26" t="s">
        <v>17</v>
      </c>
      <c r="G203" s="42"/>
      <c r="H203" s="20"/>
      <c r="J203" s="139"/>
      <c r="K203" s="145"/>
      <c r="L203" s="139"/>
      <c r="M203" s="146"/>
    </row>
    <row r="204" spans="1:13" s="4" customFormat="1" ht="35.1" customHeight="1" x14ac:dyDescent="0.3">
      <c r="A204" s="36"/>
      <c r="B204" s="37"/>
      <c r="C204" s="38"/>
      <c r="D204" s="24" t="s">
        <v>517</v>
      </c>
      <c r="E204" s="25">
        <f>-(1.75-(0.1+0.1+0.25+0.3))*1.1*9</f>
        <v>-9.9</v>
      </c>
      <c r="F204" s="26" t="s">
        <v>17</v>
      </c>
      <c r="G204" s="42"/>
      <c r="H204" s="20"/>
      <c r="J204" s="139"/>
      <c r="K204" s="145"/>
      <c r="L204" s="139"/>
      <c r="M204" s="146"/>
    </row>
    <row r="205" spans="1:13" s="4" customFormat="1" ht="35.1" customHeight="1" x14ac:dyDescent="0.3">
      <c r="A205" s="36"/>
      <c r="B205" s="37"/>
      <c r="C205" s="38"/>
      <c r="D205" s="24" t="s">
        <v>315</v>
      </c>
      <c r="E205" s="25"/>
      <c r="F205" s="26"/>
      <c r="G205" s="42"/>
      <c r="H205" s="20"/>
      <c r="J205" s="139"/>
      <c r="K205" s="145"/>
      <c r="L205" s="139"/>
      <c r="M205" s="146"/>
    </row>
    <row r="206" spans="1:13" s="4" customFormat="1" ht="35.1" customHeight="1" x14ac:dyDescent="0.3">
      <c r="A206" s="36"/>
      <c r="B206" s="37"/>
      <c r="C206" s="38"/>
      <c r="D206" s="24" t="s">
        <v>518</v>
      </c>
      <c r="E206" s="25">
        <f>-((1.5+2.1)/2-(0.1+0.1+0.15+0.3))*1*(4.3+4.7+4.4+4-4*1.5)</f>
        <v>-13.11</v>
      </c>
      <c r="F206" s="26" t="s">
        <v>17</v>
      </c>
      <c r="G206" s="42"/>
      <c r="H206" s="20"/>
      <c r="J206" s="139"/>
      <c r="K206" s="145"/>
      <c r="L206" s="139"/>
      <c r="M206" s="146"/>
    </row>
    <row r="207" spans="1:13" s="4" customFormat="1" ht="35.1" customHeight="1" x14ac:dyDescent="0.3">
      <c r="A207" s="36"/>
      <c r="B207" s="37"/>
      <c r="C207" s="38"/>
      <c r="D207" s="24" t="s">
        <v>519</v>
      </c>
      <c r="E207" s="25">
        <f>-5*((1.5-0.3+2.1-0.3)/2-(0.1+0.1+0.15+0.3))*1*2</f>
        <v>-8.5</v>
      </c>
      <c r="F207" s="26" t="s">
        <v>17</v>
      </c>
      <c r="G207" s="42"/>
      <c r="H207" s="20"/>
      <c r="J207" s="139"/>
      <c r="K207" s="145"/>
      <c r="L207" s="139"/>
      <c r="M207" s="146"/>
    </row>
    <row r="208" spans="1:13" s="4" customFormat="1" ht="35.1" customHeight="1" x14ac:dyDescent="0.3">
      <c r="A208" s="36"/>
      <c r="B208" s="37"/>
      <c r="C208" s="38"/>
      <c r="D208" s="121" t="s">
        <v>221</v>
      </c>
      <c r="E208" s="122">
        <f>SUM(E202:E207)</f>
        <v>-109.43125000000002</v>
      </c>
      <c r="F208" s="123" t="s">
        <v>17</v>
      </c>
      <c r="G208" s="42"/>
      <c r="H208" s="20"/>
      <c r="J208" s="139"/>
      <c r="K208" s="145"/>
      <c r="L208" s="139"/>
      <c r="M208" s="146"/>
    </row>
    <row r="209" spans="1:13" s="4" customFormat="1" ht="35.1" customHeight="1" x14ac:dyDescent="0.3">
      <c r="A209" s="36"/>
      <c r="B209" s="37"/>
      <c r="C209" s="38"/>
      <c r="D209" s="24"/>
      <c r="E209" s="25"/>
      <c r="F209" s="26"/>
      <c r="G209" s="42"/>
      <c r="H209" s="20"/>
      <c r="J209" s="139"/>
      <c r="K209" s="145"/>
      <c r="L209" s="139"/>
      <c r="M209" s="146"/>
    </row>
    <row r="210" spans="1:13" s="4" customFormat="1" ht="35.1" customHeight="1" x14ac:dyDescent="0.3">
      <c r="A210" s="36"/>
      <c r="B210" s="37"/>
      <c r="C210" s="38"/>
      <c r="D210" s="24" t="s">
        <v>237</v>
      </c>
      <c r="E210" s="25"/>
      <c r="F210" s="26"/>
      <c r="G210" s="42"/>
      <c r="H210" s="20"/>
      <c r="J210" s="139"/>
      <c r="K210" s="145"/>
      <c r="L210" s="139"/>
      <c r="M210" s="146"/>
    </row>
    <row r="211" spans="1:13" s="4" customFormat="1" ht="35.1" customHeight="1" x14ac:dyDescent="0.3">
      <c r="A211" s="36"/>
      <c r="B211" s="37"/>
      <c r="C211" s="38"/>
      <c r="D211" s="24" t="s">
        <v>520</v>
      </c>
      <c r="E211" s="25">
        <f>-(1.7-(0.1+0.1+0.2+0.3))*0.7*75</f>
        <v>-52.5</v>
      </c>
      <c r="F211" s="26" t="s">
        <v>17</v>
      </c>
      <c r="G211" s="42"/>
      <c r="H211" s="20"/>
      <c r="J211" s="139"/>
      <c r="K211" s="145"/>
      <c r="L211" s="139"/>
      <c r="M211" s="146"/>
    </row>
    <row r="212" spans="1:13" s="4" customFormat="1" ht="35.1" customHeight="1" x14ac:dyDescent="0.3">
      <c r="A212" s="36"/>
      <c r="B212" s="37"/>
      <c r="C212" s="38"/>
      <c r="D212" s="24" t="s">
        <v>239</v>
      </c>
      <c r="E212" s="25"/>
      <c r="F212" s="26"/>
      <c r="G212" s="42"/>
      <c r="H212" s="20"/>
      <c r="J212" s="139"/>
      <c r="K212" s="145"/>
      <c r="L212" s="139"/>
      <c r="M212" s="146"/>
    </row>
    <row r="213" spans="1:13" s="4" customFormat="1" ht="35.1" customHeight="1" x14ac:dyDescent="0.3">
      <c r="A213" s="36"/>
      <c r="B213" s="37"/>
      <c r="C213" s="38"/>
      <c r="D213" s="90" t="s">
        <v>560</v>
      </c>
      <c r="E213" s="91">
        <f>-((1.5+1.7)/2-(0.1+0.1+0.05+0.3))*1*(4.3+4.7+4.4-3*0.5)</f>
        <v>-12.495000000000001</v>
      </c>
      <c r="F213" s="92" t="s">
        <v>17</v>
      </c>
      <c r="G213" s="42"/>
      <c r="H213" s="20"/>
      <c r="J213" s="139"/>
      <c r="K213" s="145"/>
      <c r="L213" s="139"/>
      <c r="M213" s="146"/>
    </row>
    <row r="214" spans="1:13" s="4" customFormat="1" ht="35.1" customHeight="1" x14ac:dyDescent="0.3">
      <c r="A214" s="36"/>
      <c r="B214" s="37"/>
      <c r="C214" s="38"/>
      <c r="D214" s="90" t="s">
        <v>551</v>
      </c>
      <c r="E214" s="91">
        <f>-4*((1.5-0.3+1.7-0.3)/2-(0.1+0.1+0.05+0.3))*1*2</f>
        <v>-6</v>
      </c>
      <c r="F214" s="92" t="s">
        <v>17</v>
      </c>
      <c r="G214" s="42"/>
      <c r="H214" s="20"/>
      <c r="J214" s="139"/>
      <c r="K214" s="145"/>
      <c r="L214" s="139"/>
      <c r="M214" s="146"/>
    </row>
    <row r="215" spans="1:13" s="4" customFormat="1" ht="35.1" customHeight="1" x14ac:dyDescent="0.3">
      <c r="A215" s="36"/>
      <c r="B215" s="37"/>
      <c r="C215" s="38"/>
      <c r="D215" s="121" t="s">
        <v>220</v>
      </c>
      <c r="E215" s="122">
        <f>SUM(E211:E214)</f>
        <v>-70.995000000000005</v>
      </c>
      <c r="F215" s="123" t="s">
        <v>17</v>
      </c>
      <c r="G215" s="42"/>
      <c r="H215" s="20"/>
      <c r="J215" s="139"/>
      <c r="K215" s="145"/>
      <c r="L215" s="139"/>
      <c r="M215" s="146"/>
    </row>
    <row r="216" spans="1:13" s="4" customFormat="1" ht="35.1" customHeight="1" x14ac:dyDescent="0.3">
      <c r="A216" s="36"/>
      <c r="B216" s="37"/>
      <c r="C216" s="38"/>
      <c r="D216" s="121" t="s">
        <v>521</v>
      </c>
      <c r="E216" s="122">
        <f>E208+E215</f>
        <v>-180.42625000000004</v>
      </c>
      <c r="F216" s="123" t="s">
        <v>17</v>
      </c>
      <c r="G216" s="42"/>
      <c r="H216" s="20"/>
      <c r="J216" s="139"/>
      <c r="K216" s="145"/>
      <c r="L216" s="139"/>
      <c r="M216" s="146"/>
    </row>
    <row r="217" spans="1:13" s="4" customFormat="1" ht="35.1" customHeight="1" x14ac:dyDescent="0.3">
      <c r="A217" s="36"/>
      <c r="B217" s="37"/>
      <c r="C217" s="38"/>
      <c r="D217" s="121" t="s">
        <v>522</v>
      </c>
      <c r="E217" s="122">
        <f>E200+E216</f>
        <v>23.805224529999975</v>
      </c>
      <c r="F217" s="123" t="s">
        <v>17</v>
      </c>
      <c r="G217" s="42"/>
      <c r="H217" s="20"/>
      <c r="J217" s="139"/>
      <c r="K217" s="145"/>
      <c r="L217" s="139"/>
      <c r="M217" s="146"/>
    </row>
    <row r="218" spans="1:13" s="29" customFormat="1" ht="35.1" customHeight="1" x14ac:dyDescent="0.3">
      <c r="A218" s="21"/>
      <c r="B218" s="22"/>
      <c r="C218" s="23"/>
      <c r="D218" s="121" t="s">
        <v>523</v>
      </c>
      <c r="E218" s="122">
        <f>23.805*1.9</f>
        <v>45.229499999999994</v>
      </c>
      <c r="F218" s="123" t="s">
        <v>42</v>
      </c>
      <c r="G218" s="27"/>
      <c r="H218" s="20"/>
      <c r="J218" s="140"/>
      <c r="K218" s="145"/>
      <c r="L218" s="140"/>
      <c r="M218" s="149"/>
    </row>
    <row r="219" spans="1:13" s="29" customFormat="1" ht="35.1" customHeight="1" x14ac:dyDescent="0.3">
      <c r="A219" s="21"/>
      <c r="B219" s="22"/>
      <c r="C219" s="23"/>
      <c r="D219" s="96"/>
      <c r="E219" s="97"/>
      <c r="F219" s="98"/>
      <c r="G219" s="27"/>
      <c r="H219" s="20"/>
      <c r="J219" s="140"/>
      <c r="K219" s="145"/>
      <c r="L219" s="140"/>
      <c r="M219" s="149"/>
    </row>
    <row r="220" spans="1:13" s="4" customFormat="1" ht="35.1" customHeight="1" x14ac:dyDescent="0.3">
      <c r="A220" s="13">
        <v>21</v>
      </c>
      <c r="B220" s="14" t="s">
        <v>12</v>
      </c>
      <c r="C220" s="15" t="s">
        <v>54</v>
      </c>
      <c r="D220" s="16" t="s">
        <v>55</v>
      </c>
      <c r="E220" s="17">
        <f>E12</f>
        <v>67.55</v>
      </c>
      <c r="F220" s="18" t="s">
        <v>13</v>
      </c>
      <c r="G220" s="19"/>
      <c r="H220" s="20">
        <f t="shared" ref="H220" si="9">E220*G220</f>
        <v>0</v>
      </c>
      <c r="J220" s="139">
        <v>0</v>
      </c>
      <c r="K220" s="145">
        <f t="shared" si="8"/>
        <v>0</v>
      </c>
      <c r="L220" s="139">
        <v>0</v>
      </c>
      <c r="M220" s="146" t="e">
        <f>L220*#REF!</f>
        <v>#REF!</v>
      </c>
    </row>
    <row r="221" spans="1:13" s="4" customFormat="1" ht="35.1" customHeight="1" x14ac:dyDescent="0.3">
      <c r="A221" s="179"/>
      <c r="B221" s="180"/>
      <c r="C221" s="181"/>
      <c r="D221" s="182"/>
      <c r="E221" s="183"/>
      <c r="F221" s="182"/>
      <c r="G221" s="184"/>
      <c r="H221" s="185"/>
      <c r="J221" s="139"/>
      <c r="K221" s="145"/>
      <c r="L221" s="139"/>
      <c r="M221" s="146"/>
    </row>
    <row r="222" spans="1:13" s="4" customFormat="1" ht="35.1" customHeight="1" x14ac:dyDescent="0.3">
      <c r="A222" s="13">
        <v>22</v>
      </c>
      <c r="B222" s="14" t="s">
        <v>12</v>
      </c>
      <c r="C222" s="15" t="s">
        <v>65</v>
      </c>
      <c r="D222" s="16" t="s">
        <v>624</v>
      </c>
      <c r="E222" s="17">
        <f>E233</f>
        <v>151.70000000000002</v>
      </c>
      <c r="F222" s="18" t="s">
        <v>13</v>
      </c>
      <c r="G222" s="19"/>
      <c r="H222" s="20">
        <f>E222*G222</f>
        <v>0</v>
      </c>
      <c r="J222" s="139"/>
      <c r="K222" s="145"/>
      <c r="L222" s="139"/>
      <c r="M222" s="146"/>
    </row>
    <row r="223" spans="1:13" s="4" customFormat="1" ht="35.1" customHeight="1" x14ac:dyDescent="0.3">
      <c r="A223" s="179"/>
      <c r="B223" s="180"/>
      <c r="C223" s="181"/>
      <c r="D223" s="16" t="s">
        <v>625</v>
      </c>
      <c r="E223" s="17"/>
      <c r="F223" s="18"/>
      <c r="G223" s="184"/>
      <c r="H223" s="185"/>
      <c r="J223" s="139"/>
      <c r="K223" s="145"/>
      <c r="L223" s="139"/>
      <c r="M223" s="146"/>
    </row>
    <row r="224" spans="1:13" s="4" customFormat="1" ht="35.1" customHeight="1" x14ac:dyDescent="0.3">
      <c r="A224" s="179"/>
      <c r="B224" s="180"/>
      <c r="C224" s="181"/>
      <c r="D224" s="24" t="s">
        <v>627</v>
      </c>
      <c r="E224" s="25">
        <f>1.1*(60-1.5)</f>
        <v>64.350000000000009</v>
      </c>
      <c r="F224" s="26" t="s">
        <v>13</v>
      </c>
      <c r="G224" s="184"/>
      <c r="H224" s="185"/>
      <c r="J224" s="139"/>
      <c r="K224" s="145"/>
      <c r="L224" s="139"/>
      <c r="M224" s="146"/>
    </row>
    <row r="225" spans="1:13" s="4" customFormat="1" ht="35.1" customHeight="1" x14ac:dyDescent="0.3">
      <c r="A225" s="179"/>
      <c r="B225" s="180"/>
      <c r="C225" s="181"/>
      <c r="D225" s="24" t="s">
        <v>628</v>
      </c>
      <c r="E225" s="25">
        <f>1.1*1.5</f>
        <v>1.6500000000000001</v>
      </c>
      <c r="F225" s="26" t="s">
        <v>13</v>
      </c>
      <c r="G225" s="184"/>
      <c r="H225" s="185"/>
      <c r="J225" s="139"/>
      <c r="K225" s="145"/>
      <c r="L225" s="139"/>
      <c r="M225" s="146"/>
    </row>
    <row r="226" spans="1:13" s="4" customFormat="1" ht="35.1" customHeight="1" x14ac:dyDescent="0.3">
      <c r="A226" s="179"/>
      <c r="B226" s="180"/>
      <c r="C226" s="181"/>
      <c r="D226" s="24" t="s">
        <v>629</v>
      </c>
      <c r="E226" s="25">
        <f>1.1*9</f>
        <v>9.9</v>
      </c>
      <c r="F226" s="26" t="s">
        <v>13</v>
      </c>
      <c r="G226" s="184"/>
      <c r="H226" s="185"/>
      <c r="J226" s="139"/>
      <c r="K226" s="145"/>
      <c r="L226" s="139"/>
      <c r="M226" s="146"/>
    </row>
    <row r="227" spans="1:13" s="4" customFormat="1" ht="35.1" customHeight="1" x14ac:dyDescent="0.3">
      <c r="A227" s="179"/>
      <c r="B227" s="180"/>
      <c r="C227" s="181"/>
      <c r="D227" s="24" t="s">
        <v>626</v>
      </c>
      <c r="E227" s="25"/>
      <c r="F227" s="26"/>
      <c r="G227" s="184"/>
      <c r="H227" s="185"/>
      <c r="J227" s="139"/>
      <c r="K227" s="145"/>
      <c r="L227" s="139"/>
      <c r="M227" s="146"/>
    </row>
    <row r="228" spans="1:13" s="4" customFormat="1" ht="35.1" customHeight="1" x14ac:dyDescent="0.3">
      <c r="A228" s="179"/>
      <c r="B228" s="180"/>
      <c r="C228" s="181"/>
      <c r="D228" s="24" t="s">
        <v>630</v>
      </c>
      <c r="E228" s="25">
        <f>1*(4.3+4.7+4.4+4-4*1.5)</f>
        <v>11.399999999999999</v>
      </c>
      <c r="F228" s="26" t="s">
        <v>13</v>
      </c>
      <c r="G228" s="184"/>
      <c r="H228" s="185"/>
      <c r="J228" s="139"/>
      <c r="K228" s="145"/>
      <c r="L228" s="139"/>
      <c r="M228" s="146"/>
    </row>
    <row r="229" spans="1:13" s="4" customFormat="1" ht="35.1" customHeight="1" x14ac:dyDescent="0.3">
      <c r="A229" s="179"/>
      <c r="B229" s="180"/>
      <c r="C229" s="181"/>
      <c r="D229" s="24" t="s">
        <v>237</v>
      </c>
      <c r="E229" s="25"/>
      <c r="F229" s="26"/>
      <c r="G229" s="184"/>
      <c r="H229" s="185"/>
      <c r="J229" s="139"/>
      <c r="K229" s="145"/>
      <c r="L229" s="139"/>
      <c r="M229" s="146"/>
    </row>
    <row r="230" spans="1:13" s="4" customFormat="1" ht="35.1" customHeight="1" x14ac:dyDescent="0.3">
      <c r="A230" s="179"/>
      <c r="B230" s="180"/>
      <c r="C230" s="181"/>
      <c r="D230" s="24" t="s">
        <v>238</v>
      </c>
      <c r="E230" s="25">
        <f>0.7*75</f>
        <v>52.5</v>
      </c>
      <c r="F230" s="26" t="s">
        <v>13</v>
      </c>
      <c r="G230" s="184"/>
      <c r="H230" s="185"/>
      <c r="J230" s="139"/>
      <c r="K230" s="145"/>
      <c r="L230" s="139"/>
      <c r="M230" s="146"/>
    </row>
    <row r="231" spans="1:13" s="4" customFormat="1" ht="35.1" customHeight="1" x14ac:dyDescent="0.3">
      <c r="A231" s="179"/>
      <c r="B231" s="180"/>
      <c r="C231" s="181"/>
      <c r="D231" s="24" t="s">
        <v>631</v>
      </c>
      <c r="E231" s="25"/>
      <c r="F231" s="26"/>
      <c r="G231" s="184"/>
      <c r="H231" s="185"/>
      <c r="J231" s="139"/>
      <c r="K231" s="145"/>
      <c r="L231" s="139"/>
      <c r="M231" s="146"/>
    </row>
    <row r="232" spans="1:13" s="4" customFormat="1" ht="35.1" customHeight="1" x14ac:dyDescent="0.3">
      <c r="A232" s="179"/>
      <c r="B232" s="180"/>
      <c r="C232" s="181"/>
      <c r="D232" s="90" t="s">
        <v>549</v>
      </c>
      <c r="E232" s="91">
        <f>1*(4.3+4.7+4.4-3*0.5)</f>
        <v>11.9</v>
      </c>
      <c r="F232" s="92" t="s">
        <v>13</v>
      </c>
      <c r="G232" s="184"/>
      <c r="H232" s="185"/>
      <c r="J232" s="139"/>
      <c r="K232" s="145"/>
      <c r="L232" s="139"/>
      <c r="M232" s="146"/>
    </row>
    <row r="233" spans="1:13" s="126" customFormat="1" ht="35.1" customHeight="1" x14ac:dyDescent="0.3">
      <c r="A233" s="258"/>
      <c r="B233" s="259"/>
      <c r="C233" s="260"/>
      <c r="D233" s="248" t="s">
        <v>18</v>
      </c>
      <c r="E233" s="249">
        <f>SUM(E224:E232)</f>
        <v>151.70000000000002</v>
      </c>
      <c r="F233" s="250" t="s">
        <v>13</v>
      </c>
      <c r="G233" s="261"/>
      <c r="H233" s="262"/>
      <c r="J233" s="148"/>
      <c r="K233" s="263"/>
      <c r="L233" s="148"/>
      <c r="M233" s="161"/>
    </row>
    <row r="234" spans="1:13" s="71" customFormat="1" ht="35.1" customHeight="1" x14ac:dyDescent="0.2">
      <c r="A234" s="66"/>
      <c r="B234" s="67" t="s">
        <v>3</v>
      </c>
      <c r="C234" s="67" t="s">
        <v>4</v>
      </c>
      <c r="D234" s="67" t="s">
        <v>169</v>
      </c>
      <c r="E234" s="68"/>
      <c r="F234" s="67"/>
      <c r="G234" s="69"/>
      <c r="H234" s="70">
        <f>SUM(H9:H233)</f>
        <v>0</v>
      </c>
      <c r="J234" s="136"/>
      <c r="K234" s="145"/>
      <c r="L234" s="136"/>
      <c r="M234" s="138"/>
    </row>
    <row r="235" spans="1:13" s="71" customFormat="1" ht="35.1" customHeight="1" x14ac:dyDescent="0.2">
      <c r="A235" s="66"/>
      <c r="B235" s="67"/>
      <c r="C235" s="67"/>
      <c r="D235" s="67"/>
      <c r="E235" s="68"/>
      <c r="F235" s="67"/>
      <c r="G235" s="69"/>
      <c r="H235" s="70"/>
      <c r="J235" s="136"/>
      <c r="K235" s="145"/>
      <c r="L235" s="136"/>
      <c r="M235" s="138"/>
    </row>
    <row r="236" spans="1:13" s="71" customFormat="1" ht="35.1" customHeight="1" x14ac:dyDescent="0.2">
      <c r="A236" s="66"/>
      <c r="B236" s="67" t="s">
        <v>3</v>
      </c>
      <c r="C236" s="67" t="s">
        <v>14</v>
      </c>
      <c r="D236" s="67" t="s">
        <v>56</v>
      </c>
      <c r="E236" s="68"/>
      <c r="F236" s="67"/>
      <c r="G236" s="69"/>
      <c r="H236" s="70"/>
      <c r="J236" s="136"/>
      <c r="K236" s="145"/>
      <c r="L236" s="136"/>
      <c r="M236" s="138"/>
    </row>
    <row r="237" spans="1:13" s="4" customFormat="1" ht="35.1" customHeight="1" x14ac:dyDescent="0.3">
      <c r="A237" s="13">
        <v>23</v>
      </c>
      <c r="B237" s="14" t="s">
        <v>12</v>
      </c>
      <c r="C237" s="15" t="s">
        <v>57</v>
      </c>
      <c r="D237" s="16" t="s">
        <v>58</v>
      </c>
      <c r="E237" s="17">
        <f>E268</f>
        <v>43.95</v>
      </c>
      <c r="F237" s="18" t="s">
        <v>17</v>
      </c>
      <c r="G237" s="19"/>
      <c r="H237" s="20">
        <f>E237*G237</f>
        <v>0</v>
      </c>
      <c r="J237" s="139">
        <v>1.8907700000000001</v>
      </c>
      <c r="K237" s="145">
        <f t="shared" si="8"/>
        <v>83.099341500000008</v>
      </c>
      <c r="L237" s="139">
        <v>0</v>
      </c>
      <c r="M237" s="146" t="e">
        <f>L237*#REF!</f>
        <v>#REF!</v>
      </c>
    </row>
    <row r="238" spans="1:13" s="4" customFormat="1" ht="35.1" customHeight="1" x14ac:dyDescent="0.3">
      <c r="A238" s="179"/>
      <c r="B238" s="180"/>
      <c r="C238" s="181"/>
      <c r="D238" s="16" t="s">
        <v>251</v>
      </c>
      <c r="E238" s="17"/>
      <c r="F238" s="18"/>
      <c r="G238" s="184"/>
      <c r="H238" s="185"/>
      <c r="J238" s="139"/>
      <c r="K238" s="145"/>
      <c r="L238" s="139"/>
      <c r="M238" s="146"/>
    </row>
    <row r="239" spans="1:13" s="4" customFormat="1" ht="35.1" customHeight="1" x14ac:dyDescent="0.3">
      <c r="A239" s="179"/>
      <c r="B239" s="180"/>
      <c r="C239" s="181"/>
      <c r="D239" s="24" t="s">
        <v>252</v>
      </c>
      <c r="E239" s="25">
        <f>(0.1+0.1)*1.1*(1.5+3)</f>
        <v>0.9900000000000001</v>
      </c>
      <c r="F239" s="26" t="s">
        <v>17</v>
      </c>
      <c r="G239" s="184"/>
      <c r="H239" s="185"/>
      <c r="J239" s="139"/>
      <c r="K239" s="145"/>
      <c r="L239" s="139"/>
      <c r="M239" s="146"/>
    </row>
    <row r="240" spans="1:13" s="4" customFormat="1" ht="35.1" customHeight="1" x14ac:dyDescent="0.3">
      <c r="A240" s="179"/>
      <c r="B240" s="180"/>
      <c r="C240" s="181"/>
      <c r="D240" s="24" t="s">
        <v>253</v>
      </c>
      <c r="E240" s="25">
        <f>(0.1+0.1)*1.1*(60-1.5)</f>
        <v>12.870000000000001</v>
      </c>
      <c r="F240" s="26" t="s">
        <v>17</v>
      </c>
      <c r="G240" s="184"/>
      <c r="H240" s="185"/>
      <c r="J240" s="139"/>
      <c r="K240" s="145"/>
      <c r="L240" s="139"/>
      <c r="M240" s="146"/>
    </row>
    <row r="241" spans="1:13" s="4" customFormat="1" ht="35.1" customHeight="1" x14ac:dyDescent="0.3">
      <c r="A241" s="179"/>
      <c r="B241" s="180"/>
      <c r="C241" s="181"/>
      <c r="D241" s="24" t="s">
        <v>254</v>
      </c>
      <c r="E241" s="25">
        <f>(0.1+0.1)*1.1*1.5</f>
        <v>0.33000000000000007</v>
      </c>
      <c r="F241" s="26" t="s">
        <v>17</v>
      </c>
      <c r="G241" s="184"/>
      <c r="H241" s="185"/>
      <c r="J241" s="139"/>
      <c r="K241" s="145"/>
      <c r="L241" s="139"/>
      <c r="M241" s="146"/>
    </row>
    <row r="242" spans="1:13" s="4" customFormat="1" ht="35.1" customHeight="1" x14ac:dyDescent="0.3">
      <c r="A242" s="179"/>
      <c r="B242" s="180"/>
      <c r="C242" s="181"/>
      <c r="D242" s="24" t="s">
        <v>340</v>
      </c>
      <c r="E242" s="25">
        <f>(0.1+0.1)*1.1*9</f>
        <v>1.9800000000000002</v>
      </c>
      <c r="F242" s="26" t="s">
        <v>17</v>
      </c>
      <c r="G242" s="184"/>
      <c r="H242" s="185"/>
      <c r="J242" s="139"/>
      <c r="K242" s="145"/>
      <c r="L242" s="139"/>
      <c r="M242" s="146"/>
    </row>
    <row r="243" spans="1:13" s="4" customFormat="1" ht="35.1" customHeight="1" x14ac:dyDescent="0.3">
      <c r="A243" s="179"/>
      <c r="B243" s="180"/>
      <c r="C243" s="181"/>
      <c r="D243" s="24" t="s">
        <v>341</v>
      </c>
      <c r="E243" s="25">
        <f>(0.1+0.1)*1.1*10</f>
        <v>2.2000000000000002</v>
      </c>
      <c r="F243" s="26" t="s">
        <v>17</v>
      </c>
      <c r="G243" s="184"/>
      <c r="H243" s="185"/>
      <c r="J243" s="139"/>
      <c r="K243" s="145"/>
      <c r="L243" s="139"/>
      <c r="M243" s="146"/>
    </row>
    <row r="244" spans="1:13" s="4" customFormat="1" ht="35.1" customHeight="1" x14ac:dyDescent="0.3">
      <c r="A244" s="179"/>
      <c r="B244" s="180"/>
      <c r="C244" s="181"/>
      <c r="D244" s="24" t="s">
        <v>315</v>
      </c>
      <c r="E244" s="25"/>
      <c r="F244" s="26"/>
      <c r="G244" s="184"/>
      <c r="H244" s="185"/>
      <c r="J244" s="139"/>
      <c r="K244" s="145"/>
      <c r="L244" s="139"/>
      <c r="M244" s="146"/>
    </row>
    <row r="245" spans="1:13" s="4" customFormat="1" ht="35.1" customHeight="1" x14ac:dyDescent="0.3">
      <c r="A245" s="179"/>
      <c r="B245" s="180"/>
      <c r="C245" s="181"/>
      <c r="D245" s="24" t="s">
        <v>424</v>
      </c>
      <c r="E245" s="25">
        <f>(0.1+0.1)*1*(4.3+4.7+4.4-3*1.5)</f>
        <v>1.7800000000000002</v>
      </c>
      <c r="F245" s="26" t="s">
        <v>17</v>
      </c>
      <c r="G245" s="184"/>
      <c r="H245" s="185"/>
      <c r="J245" s="139"/>
      <c r="K245" s="145"/>
      <c r="L245" s="139"/>
      <c r="M245" s="146"/>
    </row>
    <row r="246" spans="1:13" s="4" customFormat="1" ht="35.1" customHeight="1" x14ac:dyDescent="0.3">
      <c r="A246" s="179"/>
      <c r="B246" s="180"/>
      <c r="C246" s="181"/>
      <c r="D246" s="24" t="s">
        <v>425</v>
      </c>
      <c r="E246" s="25">
        <f>4*(0.1+0.1)*1*2</f>
        <v>1.6</v>
      </c>
      <c r="F246" s="26" t="s">
        <v>17</v>
      </c>
      <c r="G246" s="184"/>
      <c r="H246" s="185"/>
      <c r="J246" s="139"/>
      <c r="K246" s="145"/>
      <c r="L246" s="139"/>
      <c r="M246" s="146"/>
    </row>
    <row r="247" spans="1:13" s="4" customFormat="1" ht="35.1" customHeight="1" x14ac:dyDescent="0.3">
      <c r="A247" s="179"/>
      <c r="B247" s="180"/>
      <c r="C247" s="181"/>
      <c r="D247" s="24" t="s">
        <v>342</v>
      </c>
      <c r="E247" s="25">
        <f>(0.1+0.1)*1*(3.6-1.5)</f>
        <v>0.42000000000000004</v>
      </c>
      <c r="F247" s="26" t="s">
        <v>17</v>
      </c>
      <c r="G247" s="184"/>
      <c r="H247" s="185"/>
      <c r="J247" s="139"/>
      <c r="K247" s="145"/>
      <c r="L247" s="139"/>
      <c r="M247" s="146"/>
    </row>
    <row r="248" spans="1:13" s="4" customFormat="1" ht="35.1" customHeight="1" x14ac:dyDescent="0.3">
      <c r="A248" s="179"/>
      <c r="B248" s="180"/>
      <c r="C248" s="181"/>
      <c r="D248" s="24" t="s">
        <v>426</v>
      </c>
      <c r="E248" s="25">
        <f>(0.1+0.1)*1*2</f>
        <v>0.4</v>
      </c>
      <c r="F248" s="26" t="s">
        <v>17</v>
      </c>
      <c r="G248" s="184"/>
      <c r="H248" s="185"/>
      <c r="J248" s="139"/>
      <c r="K248" s="145"/>
      <c r="L248" s="139"/>
      <c r="M248" s="146"/>
    </row>
    <row r="249" spans="1:13" s="4" customFormat="1" ht="35.1" customHeight="1" x14ac:dyDescent="0.3">
      <c r="A249" s="179"/>
      <c r="B249" s="180"/>
      <c r="C249" s="181"/>
      <c r="D249" s="121" t="s">
        <v>221</v>
      </c>
      <c r="E249" s="122">
        <f>SUM(E239:E248)</f>
        <v>22.570000000000004</v>
      </c>
      <c r="F249" s="123" t="s">
        <v>17</v>
      </c>
      <c r="G249" s="184"/>
      <c r="H249" s="185"/>
      <c r="J249" s="139"/>
      <c r="K249" s="145"/>
      <c r="L249" s="139"/>
      <c r="M249" s="146"/>
    </row>
    <row r="250" spans="1:13" s="4" customFormat="1" ht="35.1" customHeight="1" x14ac:dyDescent="0.3">
      <c r="A250" s="179"/>
      <c r="B250" s="180"/>
      <c r="C250" s="181"/>
      <c r="D250" s="24"/>
      <c r="E250" s="25"/>
      <c r="F250" s="26"/>
      <c r="G250" s="184"/>
      <c r="H250" s="185"/>
      <c r="J250" s="139"/>
      <c r="K250" s="145"/>
      <c r="L250" s="139"/>
      <c r="M250" s="146"/>
    </row>
    <row r="251" spans="1:13" s="4" customFormat="1" ht="35.1" customHeight="1" x14ac:dyDescent="0.3">
      <c r="A251" s="179"/>
      <c r="B251" s="180"/>
      <c r="C251" s="181"/>
      <c r="D251" s="24" t="s">
        <v>237</v>
      </c>
      <c r="E251" s="25"/>
      <c r="F251" s="26"/>
      <c r="G251" s="184"/>
      <c r="H251" s="185"/>
      <c r="J251" s="139"/>
      <c r="K251" s="145"/>
      <c r="L251" s="139"/>
      <c r="M251" s="146"/>
    </row>
    <row r="252" spans="1:13" s="4" customFormat="1" ht="35.1" customHeight="1" x14ac:dyDescent="0.3">
      <c r="A252" s="179"/>
      <c r="B252" s="180"/>
      <c r="C252" s="181"/>
      <c r="D252" s="24" t="s">
        <v>255</v>
      </c>
      <c r="E252" s="25">
        <f>(0.1+0.1)*0.7*75</f>
        <v>10.499999999999998</v>
      </c>
      <c r="F252" s="26" t="s">
        <v>17</v>
      </c>
      <c r="G252" s="184"/>
      <c r="H252" s="185"/>
      <c r="J252" s="139"/>
      <c r="K252" s="145"/>
      <c r="L252" s="139"/>
      <c r="M252" s="146"/>
    </row>
    <row r="253" spans="1:13" s="4" customFormat="1" ht="35.1" customHeight="1" x14ac:dyDescent="0.3">
      <c r="A253" s="179"/>
      <c r="B253" s="180"/>
      <c r="C253" s="181"/>
      <c r="D253" s="24" t="s">
        <v>256</v>
      </c>
      <c r="E253" s="25">
        <f>(0.1+0.1)*0.7*(5+5)</f>
        <v>1.4</v>
      </c>
      <c r="F253" s="26" t="s">
        <v>17</v>
      </c>
      <c r="G253" s="184"/>
      <c r="H253" s="185"/>
      <c r="J253" s="139"/>
      <c r="K253" s="145"/>
      <c r="L253" s="139"/>
      <c r="M253" s="146"/>
    </row>
    <row r="254" spans="1:13" s="4" customFormat="1" ht="35.1" customHeight="1" x14ac:dyDescent="0.3">
      <c r="A254" s="179"/>
      <c r="B254" s="180"/>
      <c r="C254" s="181"/>
      <c r="D254" s="24" t="s">
        <v>343</v>
      </c>
      <c r="E254" s="25">
        <f>(0.1+0.1)*0.7*2</f>
        <v>0.27999999999999997</v>
      </c>
      <c r="F254" s="26" t="s">
        <v>17</v>
      </c>
      <c r="G254" s="184"/>
      <c r="H254" s="185"/>
      <c r="J254" s="139"/>
      <c r="K254" s="145"/>
      <c r="L254" s="139"/>
      <c r="M254" s="146"/>
    </row>
    <row r="255" spans="1:13" s="4" customFormat="1" ht="35.1" customHeight="1" x14ac:dyDescent="0.3">
      <c r="A255" s="179"/>
      <c r="B255" s="180"/>
      <c r="C255" s="181"/>
      <c r="D255" s="24" t="s">
        <v>344</v>
      </c>
      <c r="E255" s="25">
        <f>(0.1+0.1)*0.7*5</f>
        <v>0.7</v>
      </c>
      <c r="F255" s="26" t="s">
        <v>17</v>
      </c>
      <c r="G255" s="184"/>
      <c r="H255" s="185"/>
      <c r="J255" s="139"/>
      <c r="K255" s="145"/>
      <c r="L255" s="139"/>
      <c r="M255" s="146"/>
    </row>
    <row r="256" spans="1:13" s="4" customFormat="1" ht="35.1" customHeight="1" x14ac:dyDescent="0.3">
      <c r="A256" s="179"/>
      <c r="B256" s="180"/>
      <c r="C256" s="181"/>
      <c r="D256" s="24" t="s">
        <v>239</v>
      </c>
      <c r="E256" s="25"/>
      <c r="F256" s="26"/>
      <c r="G256" s="184"/>
      <c r="H256" s="185"/>
      <c r="J256" s="139"/>
      <c r="K256" s="145"/>
      <c r="L256" s="139"/>
      <c r="M256" s="146"/>
    </row>
    <row r="257" spans="1:13" s="4" customFormat="1" ht="35.1" customHeight="1" x14ac:dyDescent="0.3">
      <c r="A257" s="179"/>
      <c r="B257" s="180"/>
      <c r="C257" s="181"/>
      <c r="D257" s="90" t="s">
        <v>561</v>
      </c>
      <c r="E257" s="91">
        <f>(0.1+0.1)*1*(4.3+4.7+4.4-3*0.5)</f>
        <v>2.3800000000000003</v>
      </c>
      <c r="F257" s="92" t="s">
        <v>17</v>
      </c>
      <c r="G257" s="184"/>
      <c r="H257" s="185"/>
      <c r="J257" s="139"/>
      <c r="K257" s="145"/>
      <c r="L257" s="139"/>
      <c r="M257" s="146"/>
    </row>
    <row r="258" spans="1:13" s="4" customFormat="1" ht="35.1" customHeight="1" x14ac:dyDescent="0.3">
      <c r="A258" s="179"/>
      <c r="B258" s="180"/>
      <c r="C258" s="181"/>
      <c r="D258" s="90" t="s">
        <v>562</v>
      </c>
      <c r="E258" s="91">
        <f>4*(0.1+0.1)*1*2</f>
        <v>1.6</v>
      </c>
      <c r="F258" s="92" t="s">
        <v>17</v>
      </c>
      <c r="G258" s="184"/>
      <c r="H258" s="185"/>
      <c r="J258" s="139"/>
      <c r="K258" s="145"/>
      <c r="L258" s="139"/>
      <c r="M258" s="146"/>
    </row>
    <row r="259" spans="1:13" s="4" customFormat="1" ht="35.1" customHeight="1" x14ac:dyDescent="0.3">
      <c r="A259" s="179"/>
      <c r="B259" s="180"/>
      <c r="C259" s="181"/>
      <c r="D259" s="90" t="s">
        <v>345</v>
      </c>
      <c r="E259" s="91">
        <f>(0.1+0.1)*1*(3.6-0.5)</f>
        <v>0.62000000000000011</v>
      </c>
      <c r="F259" s="92" t="s">
        <v>17</v>
      </c>
      <c r="G259" s="184"/>
      <c r="H259" s="185"/>
      <c r="J259" s="139"/>
      <c r="K259" s="145"/>
      <c r="L259" s="139"/>
      <c r="M259" s="146"/>
    </row>
    <row r="260" spans="1:13" s="4" customFormat="1" ht="35.1" customHeight="1" x14ac:dyDescent="0.3">
      <c r="A260" s="179"/>
      <c r="B260" s="180"/>
      <c r="C260" s="181"/>
      <c r="D260" s="121" t="s">
        <v>220</v>
      </c>
      <c r="E260" s="122">
        <f>SUM(E252:E259)</f>
        <v>17.48</v>
      </c>
      <c r="F260" s="123" t="s">
        <v>17</v>
      </c>
      <c r="G260" s="184"/>
      <c r="H260" s="185"/>
      <c r="J260" s="139"/>
      <c r="K260" s="145"/>
      <c r="L260" s="139"/>
      <c r="M260" s="146"/>
    </row>
    <row r="261" spans="1:13" s="4" customFormat="1" ht="35.1" customHeight="1" x14ac:dyDescent="0.3">
      <c r="A261" s="179"/>
      <c r="B261" s="180"/>
      <c r="C261" s="181"/>
      <c r="D261" s="90"/>
      <c r="E261" s="91"/>
      <c r="F261" s="92"/>
      <c r="G261" s="184"/>
      <c r="H261" s="185"/>
      <c r="J261" s="139"/>
      <c r="K261" s="145"/>
      <c r="L261" s="139"/>
      <c r="M261" s="146"/>
    </row>
    <row r="262" spans="1:13" s="4" customFormat="1" ht="35.1" customHeight="1" x14ac:dyDescent="0.3">
      <c r="A262" s="179"/>
      <c r="B262" s="180"/>
      <c r="C262" s="181"/>
      <c r="D262" s="24" t="s">
        <v>346</v>
      </c>
      <c r="E262" s="25">
        <f>(0.1+0.1)*2.5*4.5</f>
        <v>2.25</v>
      </c>
      <c r="F262" s="26" t="s">
        <v>17</v>
      </c>
      <c r="G262" s="184"/>
      <c r="H262" s="185"/>
      <c r="J262" s="139"/>
      <c r="K262" s="145"/>
      <c r="L262" s="139"/>
      <c r="M262" s="146"/>
    </row>
    <row r="263" spans="1:13" s="4" customFormat="1" ht="35.1" customHeight="1" x14ac:dyDescent="0.3">
      <c r="A263" s="179"/>
      <c r="B263" s="180"/>
      <c r="C263" s="181"/>
      <c r="D263" s="24" t="s">
        <v>347</v>
      </c>
      <c r="E263" s="25">
        <f>(0.1+0.1)*2*1</f>
        <v>0.4</v>
      </c>
      <c r="F263" s="26" t="s">
        <v>17</v>
      </c>
      <c r="G263" s="184"/>
      <c r="H263" s="185"/>
      <c r="J263" s="139"/>
      <c r="K263" s="145"/>
      <c r="L263" s="139"/>
      <c r="M263" s="146"/>
    </row>
    <row r="264" spans="1:13" s="4" customFormat="1" ht="35.1" customHeight="1" x14ac:dyDescent="0.3">
      <c r="A264" s="179"/>
      <c r="B264" s="180"/>
      <c r="C264" s="181"/>
      <c r="D264" s="24" t="s">
        <v>348</v>
      </c>
      <c r="E264" s="25">
        <f>2*(0.1+0.1)*1*1</f>
        <v>0.4</v>
      </c>
      <c r="F264" s="26" t="s">
        <v>17</v>
      </c>
      <c r="G264" s="184"/>
      <c r="H264" s="185"/>
      <c r="J264" s="139"/>
      <c r="K264" s="145"/>
      <c r="L264" s="139"/>
      <c r="M264" s="146"/>
    </row>
    <row r="265" spans="1:13" s="4" customFormat="1" ht="35.1" customHeight="1" x14ac:dyDescent="0.3">
      <c r="A265" s="179"/>
      <c r="B265" s="180"/>
      <c r="C265" s="181"/>
      <c r="D265" s="24" t="s">
        <v>427</v>
      </c>
      <c r="E265" s="25">
        <f>(0.1+0.1)*1.5*1.5</f>
        <v>0.45000000000000007</v>
      </c>
      <c r="F265" s="26" t="s">
        <v>17</v>
      </c>
      <c r="G265" s="184"/>
      <c r="H265" s="185"/>
      <c r="J265" s="139"/>
      <c r="K265" s="145"/>
      <c r="L265" s="139"/>
      <c r="M265" s="146"/>
    </row>
    <row r="266" spans="1:13" s="4" customFormat="1" ht="35.1" customHeight="1" x14ac:dyDescent="0.3">
      <c r="A266" s="179"/>
      <c r="B266" s="180"/>
      <c r="C266" s="181"/>
      <c r="D266" s="24" t="s">
        <v>349</v>
      </c>
      <c r="E266" s="25">
        <f>2*(0.1+0.1)*1*1</f>
        <v>0.4</v>
      </c>
      <c r="F266" s="26" t="s">
        <v>17</v>
      </c>
      <c r="G266" s="184"/>
      <c r="H266" s="185"/>
      <c r="J266" s="139"/>
      <c r="K266" s="145"/>
      <c r="L266" s="139"/>
      <c r="M266" s="146"/>
    </row>
    <row r="267" spans="1:13" s="4" customFormat="1" ht="35.1" customHeight="1" x14ac:dyDescent="0.3">
      <c r="A267" s="179"/>
      <c r="B267" s="180"/>
      <c r="C267" s="181"/>
      <c r="D267" s="121" t="s">
        <v>245</v>
      </c>
      <c r="E267" s="122">
        <f>SUM(E262:E266)</f>
        <v>3.9</v>
      </c>
      <c r="F267" s="123" t="s">
        <v>17</v>
      </c>
      <c r="G267" s="184"/>
      <c r="H267" s="185"/>
      <c r="J267" s="139"/>
      <c r="K267" s="145"/>
      <c r="L267" s="139"/>
      <c r="M267" s="146"/>
    </row>
    <row r="268" spans="1:13" s="4" customFormat="1" ht="35.1" customHeight="1" x14ac:dyDescent="0.3">
      <c r="A268" s="179"/>
      <c r="B268" s="180"/>
      <c r="C268" s="181"/>
      <c r="D268" s="121" t="s">
        <v>257</v>
      </c>
      <c r="E268" s="122">
        <f>E249+E260+E267</f>
        <v>43.95</v>
      </c>
      <c r="F268" s="123" t="s">
        <v>17</v>
      </c>
      <c r="G268" s="184"/>
      <c r="H268" s="185"/>
      <c r="J268" s="139"/>
      <c r="K268" s="145"/>
      <c r="L268" s="139"/>
      <c r="M268" s="146"/>
    </row>
    <row r="269" spans="1:13" s="4" customFormat="1" ht="35.1" customHeight="1" x14ac:dyDescent="0.3">
      <c r="A269" s="179"/>
      <c r="B269" s="180"/>
      <c r="C269" s="181"/>
      <c r="D269" s="182"/>
      <c r="E269" s="183"/>
      <c r="F269" s="182"/>
      <c r="G269" s="184"/>
      <c r="H269" s="185"/>
      <c r="J269" s="139"/>
      <c r="K269" s="145"/>
      <c r="L269" s="139"/>
      <c r="M269" s="146"/>
    </row>
    <row r="270" spans="1:13" s="71" customFormat="1" ht="35.1" customHeight="1" x14ac:dyDescent="0.2">
      <c r="A270" s="66"/>
      <c r="B270" s="67" t="s">
        <v>3</v>
      </c>
      <c r="C270" s="67" t="s">
        <v>14</v>
      </c>
      <c r="D270" s="67" t="s">
        <v>170</v>
      </c>
      <c r="E270" s="68"/>
      <c r="F270" s="67"/>
      <c r="G270" s="69"/>
      <c r="H270" s="70">
        <f>SUM(H237:H237)</f>
        <v>0</v>
      </c>
      <c r="J270" s="136"/>
      <c r="K270" s="145"/>
      <c r="L270" s="136"/>
      <c r="M270" s="138"/>
    </row>
    <row r="271" spans="1:13" s="71" customFormat="1" ht="35.1" customHeight="1" x14ac:dyDescent="0.2">
      <c r="A271" s="66"/>
      <c r="B271" s="67"/>
      <c r="C271" s="67"/>
      <c r="D271" s="67"/>
      <c r="E271" s="68"/>
      <c r="F271" s="67"/>
      <c r="G271" s="69"/>
      <c r="H271" s="70"/>
      <c r="J271" s="136"/>
      <c r="K271" s="145"/>
      <c r="L271" s="136"/>
      <c r="M271" s="138"/>
    </row>
    <row r="272" spans="1:13" s="71" customFormat="1" ht="35.1" customHeight="1" x14ac:dyDescent="0.2">
      <c r="A272" s="66"/>
      <c r="B272" s="67" t="s">
        <v>3</v>
      </c>
      <c r="C272" s="67" t="s">
        <v>19</v>
      </c>
      <c r="D272" s="67" t="s">
        <v>59</v>
      </c>
      <c r="E272" s="68"/>
      <c r="F272" s="67"/>
      <c r="G272" s="69"/>
      <c r="H272" s="70"/>
      <c r="J272" s="136"/>
      <c r="K272" s="145"/>
      <c r="L272" s="136"/>
      <c r="M272" s="138"/>
    </row>
    <row r="273" spans="1:13" s="4" customFormat="1" ht="35.1" customHeight="1" x14ac:dyDescent="0.3">
      <c r="A273" s="13">
        <v>24</v>
      </c>
      <c r="B273" s="14" t="s">
        <v>12</v>
      </c>
      <c r="C273" s="15" t="s">
        <v>478</v>
      </c>
      <c r="D273" s="16" t="s">
        <v>446</v>
      </c>
      <c r="E273" s="17">
        <f>E274</f>
        <v>46.349999999999994</v>
      </c>
      <c r="F273" s="18" t="s">
        <v>13</v>
      </c>
      <c r="G273" s="19"/>
      <c r="H273" s="20">
        <f>E273*G273</f>
        <v>0</v>
      </c>
      <c r="J273" s="139">
        <v>0.51085999999999998</v>
      </c>
      <c r="K273" s="145">
        <f t="shared" si="8"/>
        <v>23.678360999999995</v>
      </c>
      <c r="L273" s="139">
        <v>0</v>
      </c>
      <c r="M273" s="146" t="e">
        <f>L273*#REF!</f>
        <v>#REF!</v>
      </c>
    </row>
    <row r="274" spans="1:13" s="4" customFormat="1" ht="35.1" customHeight="1" x14ac:dyDescent="0.3">
      <c r="A274" s="13"/>
      <c r="B274" s="14"/>
      <c r="C274" s="23"/>
      <c r="D274" s="16" t="s">
        <v>447</v>
      </c>
      <c r="E274" s="17">
        <f>E43-E42</f>
        <v>46.349999999999994</v>
      </c>
      <c r="F274" s="18" t="s">
        <v>13</v>
      </c>
      <c r="G274" s="19"/>
      <c r="H274" s="20"/>
      <c r="J274" s="139"/>
      <c r="K274" s="145"/>
      <c r="L274" s="139"/>
      <c r="M274" s="146"/>
    </row>
    <row r="275" spans="1:13" s="29" customFormat="1" ht="35.1" customHeight="1" x14ac:dyDescent="0.3">
      <c r="A275" s="21"/>
      <c r="B275" s="22"/>
      <c r="C275" s="23"/>
      <c r="D275" s="24"/>
      <c r="E275" s="25"/>
      <c r="F275" s="26"/>
      <c r="G275" s="27"/>
      <c r="H275" s="20"/>
      <c r="J275" s="140"/>
      <c r="K275" s="145"/>
      <c r="L275" s="140"/>
      <c r="M275" s="149"/>
    </row>
    <row r="276" spans="1:13" s="4" customFormat="1" ht="35.1" customHeight="1" x14ac:dyDescent="0.3">
      <c r="A276" s="13">
        <v>25</v>
      </c>
      <c r="B276" s="14" t="s">
        <v>12</v>
      </c>
      <c r="C276" s="15" t="s">
        <v>60</v>
      </c>
      <c r="D276" s="16" t="s">
        <v>61</v>
      </c>
      <c r="E276" s="17">
        <f>E280</f>
        <v>64.349999999999994</v>
      </c>
      <c r="F276" s="18" t="s">
        <v>13</v>
      </c>
      <c r="G276" s="19"/>
      <c r="H276" s="20">
        <f t="shared" ref="H276:H298" si="10">E276*G276</f>
        <v>0</v>
      </c>
      <c r="J276" s="139">
        <v>0.37080000000000002</v>
      </c>
      <c r="K276" s="145">
        <f t="shared" si="8"/>
        <v>23.860979999999998</v>
      </c>
      <c r="L276" s="139">
        <v>0</v>
      </c>
      <c r="M276" s="146" t="e">
        <f>L276*#REF!</f>
        <v>#REF!</v>
      </c>
    </row>
    <row r="277" spans="1:13" s="4" customFormat="1" ht="35.1" customHeight="1" x14ac:dyDescent="0.3">
      <c r="A277" s="13"/>
      <c r="B277" s="14"/>
      <c r="C277" s="15"/>
      <c r="D277" s="16" t="s">
        <v>447</v>
      </c>
      <c r="E277" s="17">
        <f>E24-E42</f>
        <v>46.349999999999994</v>
      </c>
      <c r="F277" s="18" t="s">
        <v>13</v>
      </c>
      <c r="G277" s="19"/>
      <c r="H277" s="20"/>
      <c r="J277" s="139"/>
      <c r="K277" s="145"/>
      <c r="L277" s="139"/>
      <c r="M277" s="146"/>
    </row>
    <row r="278" spans="1:13" s="4" customFormat="1" ht="35.1" customHeight="1" x14ac:dyDescent="0.3">
      <c r="A278" s="13"/>
      <c r="B278" s="14"/>
      <c r="C278" s="15"/>
      <c r="D278" s="24" t="s">
        <v>415</v>
      </c>
      <c r="E278" s="25">
        <f>5*1*2</f>
        <v>10</v>
      </c>
      <c r="F278" s="26" t="s">
        <v>13</v>
      </c>
      <c r="G278" s="19"/>
      <c r="H278" s="20"/>
      <c r="J278" s="139"/>
      <c r="K278" s="145"/>
      <c r="L278" s="139"/>
      <c r="M278" s="146"/>
    </row>
    <row r="279" spans="1:13" s="4" customFormat="1" ht="35.1" customHeight="1" x14ac:dyDescent="0.3">
      <c r="A279" s="13"/>
      <c r="B279" s="14"/>
      <c r="C279" s="15"/>
      <c r="D279" s="24" t="s">
        <v>563</v>
      </c>
      <c r="E279" s="25">
        <f>4*1*2</f>
        <v>8</v>
      </c>
      <c r="F279" s="26" t="s">
        <v>13</v>
      </c>
      <c r="G279" s="19"/>
      <c r="H279" s="20"/>
      <c r="J279" s="139"/>
      <c r="K279" s="145"/>
      <c r="L279" s="139"/>
      <c r="M279" s="146"/>
    </row>
    <row r="280" spans="1:13" s="4" customFormat="1" ht="35.1" customHeight="1" x14ac:dyDescent="0.3">
      <c r="A280" s="13"/>
      <c r="B280" s="14"/>
      <c r="C280" s="15"/>
      <c r="D280" s="121" t="s">
        <v>18</v>
      </c>
      <c r="E280" s="122">
        <f>SUM(E277:E279)</f>
        <v>64.349999999999994</v>
      </c>
      <c r="F280" s="123" t="s">
        <v>13</v>
      </c>
      <c r="G280" s="19"/>
      <c r="H280" s="20"/>
      <c r="J280" s="139"/>
      <c r="K280" s="145"/>
      <c r="L280" s="139"/>
      <c r="M280" s="146"/>
    </row>
    <row r="281" spans="1:13" s="29" customFormat="1" ht="35.1" customHeight="1" x14ac:dyDescent="0.3">
      <c r="A281" s="21"/>
      <c r="B281" s="22"/>
      <c r="C281" s="23"/>
      <c r="D281" s="24"/>
      <c r="E281" s="25"/>
      <c r="F281" s="26"/>
      <c r="G281" s="27"/>
      <c r="H281" s="20"/>
      <c r="J281" s="140"/>
      <c r="K281" s="145"/>
      <c r="L281" s="140"/>
      <c r="M281" s="149"/>
    </row>
    <row r="282" spans="1:13" s="4" customFormat="1" ht="35.1" customHeight="1" x14ac:dyDescent="0.3">
      <c r="A282" s="13">
        <v>26</v>
      </c>
      <c r="B282" s="14" t="s">
        <v>12</v>
      </c>
      <c r="C282" s="15" t="s">
        <v>62</v>
      </c>
      <c r="D282" s="16" t="s">
        <v>63</v>
      </c>
      <c r="E282" s="17">
        <f>E285</f>
        <v>18</v>
      </c>
      <c r="F282" s="18" t="s">
        <v>13</v>
      </c>
      <c r="G282" s="19"/>
      <c r="H282" s="20">
        <f t="shared" si="10"/>
        <v>0</v>
      </c>
      <c r="J282" s="139">
        <v>0.27994000000000002</v>
      </c>
      <c r="K282" s="145">
        <f t="shared" si="8"/>
        <v>5.0389200000000001</v>
      </c>
      <c r="L282" s="139">
        <v>0</v>
      </c>
      <c r="M282" s="146" t="e">
        <f>L282*#REF!</f>
        <v>#REF!</v>
      </c>
    </row>
    <row r="283" spans="1:13" s="4" customFormat="1" ht="35.1" customHeight="1" x14ac:dyDescent="0.3">
      <c r="A283" s="13"/>
      <c r="B283" s="14"/>
      <c r="C283" s="15"/>
      <c r="D283" s="24" t="s">
        <v>415</v>
      </c>
      <c r="E283" s="25">
        <f>5*1*2</f>
        <v>10</v>
      </c>
      <c r="F283" s="26" t="s">
        <v>13</v>
      </c>
      <c r="G283" s="19"/>
      <c r="H283" s="20"/>
      <c r="J283" s="139"/>
      <c r="K283" s="145"/>
      <c r="L283" s="139"/>
      <c r="M283" s="146"/>
    </row>
    <row r="284" spans="1:13" s="4" customFormat="1" ht="35.1" customHeight="1" x14ac:dyDescent="0.3">
      <c r="A284" s="13"/>
      <c r="B284" s="14"/>
      <c r="C284" s="15"/>
      <c r="D284" s="24" t="s">
        <v>563</v>
      </c>
      <c r="E284" s="25">
        <f>4*1*2</f>
        <v>8</v>
      </c>
      <c r="F284" s="26" t="s">
        <v>13</v>
      </c>
      <c r="G284" s="19"/>
      <c r="H284" s="20"/>
      <c r="J284" s="139"/>
      <c r="K284" s="145"/>
      <c r="L284" s="139"/>
      <c r="M284" s="146"/>
    </row>
    <row r="285" spans="1:13" s="4" customFormat="1" ht="35.1" customHeight="1" x14ac:dyDescent="0.3">
      <c r="A285" s="13"/>
      <c r="B285" s="14"/>
      <c r="C285" s="15"/>
      <c r="D285" s="121" t="s">
        <v>18</v>
      </c>
      <c r="E285" s="122">
        <f>SUM(E283:E284)</f>
        <v>18</v>
      </c>
      <c r="F285" s="123" t="s">
        <v>13</v>
      </c>
      <c r="G285" s="19"/>
      <c r="H285" s="20"/>
      <c r="J285" s="139"/>
      <c r="K285" s="145"/>
      <c r="L285" s="139"/>
      <c r="M285" s="146"/>
    </row>
    <row r="286" spans="1:13" s="29" customFormat="1" ht="35.1" customHeight="1" x14ac:dyDescent="0.3">
      <c r="A286" s="21"/>
      <c r="B286" s="22"/>
      <c r="C286" s="23"/>
      <c r="D286" s="24"/>
      <c r="E286" s="25"/>
      <c r="F286" s="26"/>
      <c r="G286" s="27"/>
      <c r="H286" s="20"/>
      <c r="J286" s="140"/>
      <c r="K286" s="145"/>
      <c r="L286" s="140"/>
      <c r="M286" s="149"/>
    </row>
    <row r="287" spans="1:13" s="4" customFormat="1" ht="35.1" customHeight="1" x14ac:dyDescent="0.3">
      <c r="A287" s="13">
        <v>27</v>
      </c>
      <c r="B287" s="14" t="s">
        <v>12</v>
      </c>
      <c r="C287" s="15" t="s">
        <v>484</v>
      </c>
      <c r="D287" s="16" t="s">
        <v>483</v>
      </c>
      <c r="E287" s="17">
        <f>E290</f>
        <v>51.55</v>
      </c>
      <c r="F287" s="18" t="s">
        <v>13</v>
      </c>
      <c r="G287" s="19"/>
      <c r="H287" s="20">
        <f t="shared" si="10"/>
        <v>0</v>
      </c>
      <c r="J287" s="139">
        <v>0.12966</v>
      </c>
      <c r="K287" s="145">
        <f t="shared" si="8"/>
        <v>6.6839729999999999</v>
      </c>
      <c r="L287" s="139">
        <v>0</v>
      </c>
      <c r="M287" s="146" t="e">
        <f>L287*#REF!</f>
        <v>#REF!</v>
      </c>
    </row>
    <row r="288" spans="1:13" s="29" customFormat="1" ht="35.1" customHeight="1" x14ac:dyDescent="0.3">
      <c r="A288" s="21"/>
      <c r="B288" s="22"/>
      <c r="C288" s="23"/>
      <c r="D288" s="24" t="s">
        <v>447</v>
      </c>
      <c r="E288" s="25">
        <f>E274</f>
        <v>46.349999999999994</v>
      </c>
      <c r="F288" s="26" t="s">
        <v>13</v>
      </c>
      <c r="G288" s="27"/>
      <c r="H288" s="20"/>
      <c r="J288" s="140"/>
      <c r="K288" s="145"/>
      <c r="L288" s="140"/>
      <c r="M288" s="149"/>
    </row>
    <row r="289" spans="1:13" s="29" customFormat="1" ht="35.1" customHeight="1" x14ac:dyDescent="0.3">
      <c r="A289" s="21"/>
      <c r="B289" s="22"/>
      <c r="C289" s="23"/>
      <c r="D289" s="24" t="s">
        <v>314</v>
      </c>
      <c r="E289" s="25">
        <f>1*(2*3.6-1.5-0.5)</f>
        <v>5.2</v>
      </c>
      <c r="F289" s="26" t="s">
        <v>13</v>
      </c>
      <c r="G289" s="27"/>
      <c r="H289" s="20"/>
      <c r="J289" s="140"/>
      <c r="K289" s="145"/>
      <c r="L289" s="140"/>
      <c r="M289" s="149"/>
    </row>
    <row r="290" spans="1:13" s="29" customFormat="1" ht="35.1" customHeight="1" x14ac:dyDescent="0.3">
      <c r="A290" s="21"/>
      <c r="B290" s="22"/>
      <c r="C290" s="23"/>
      <c r="D290" s="121" t="s">
        <v>18</v>
      </c>
      <c r="E290" s="122">
        <f>SUM(E288:E289)</f>
        <v>51.55</v>
      </c>
      <c r="F290" s="123" t="s">
        <v>13</v>
      </c>
      <c r="G290" s="27"/>
      <c r="H290" s="20"/>
      <c r="J290" s="140"/>
      <c r="K290" s="145"/>
      <c r="L290" s="140"/>
      <c r="M290" s="149"/>
    </row>
    <row r="291" spans="1:13" s="29" customFormat="1" ht="35.1" customHeight="1" x14ac:dyDescent="0.3">
      <c r="A291" s="21"/>
      <c r="B291" s="22"/>
      <c r="C291" s="23"/>
      <c r="D291" s="24"/>
      <c r="E291" s="25"/>
      <c r="F291" s="26"/>
      <c r="G291" s="27"/>
      <c r="H291" s="20"/>
      <c r="J291" s="140"/>
      <c r="K291" s="145"/>
      <c r="L291" s="140"/>
      <c r="M291" s="149"/>
    </row>
    <row r="292" spans="1:13" s="4" customFormat="1" ht="35.1" customHeight="1" x14ac:dyDescent="0.3">
      <c r="A292" s="13">
        <v>28</v>
      </c>
      <c r="B292" s="14" t="s">
        <v>12</v>
      </c>
      <c r="C292" s="15" t="s">
        <v>480</v>
      </c>
      <c r="D292" s="16" t="s">
        <v>479</v>
      </c>
      <c r="E292" s="17">
        <f>E293</f>
        <v>46.349999999999994</v>
      </c>
      <c r="F292" s="18" t="s">
        <v>13</v>
      </c>
      <c r="G292" s="19"/>
      <c r="H292" s="20">
        <f t="shared" si="10"/>
        <v>0</v>
      </c>
      <c r="J292" s="139">
        <v>0.13188</v>
      </c>
      <c r="K292" s="145">
        <f t="shared" ref="K292:K349" si="11">E292*J292</f>
        <v>6.1126379999999987</v>
      </c>
      <c r="L292" s="139">
        <v>0</v>
      </c>
      <c r="M292" s="146" t="e">
        <f>L292*#REF!</f>
        <v>#REF!</v>
      </c>
    </row>
    <row r="293" spans="1:13" s="4" customFormat="1" ht="35.1" customHeight="1" x14ac:dyDescent="0.3">
      <c r="A293" s="13"/>
      <c r="B293" s="14"/>
      <c r="C293" s="15"/>
      <c r="D293" s="24" t="s">
        <v>447</v>
      </c>
      <c r="E293" s="25">
        <f>E274</f>
        <v>46.349999999999994</v>
      </c>
      <c r="F293" s="26" t="s">
        <v>13</v>
      </c>
      <c r="G293" s="27"/>
      <c r="H293" s="20"/>
      <c r="J293" s="139"/>
      <c r="K293" s="145"/>
      <c r="L293" s="139"/>
      <c r="M293" s="146"/>
    </row>
    <row r="294" spans="1:13" s="110" customFormat="1" ht="35.1" customHeight="1" x14ac:dyDescent="0.3">
      <c r="A294" s="103"/>
      <c r="B294" s="104"/>
      <c r="C294" s="105"/>
      <c r="D294" s="93"/>
      <c r="E294" s="107"/>
      <c r="F294" s="108"/>
      <c r="G294" s="109"/>
      <c r="H294" s="20"/>
      <c r="J294" s="144"/>
      <c r="K294" s="145"/>
      <c r="L294" s="144"/>
      <c r="M294" s="149"/>
    </row>
    <row r="295" spans="1:13" s="4" customFormat="1" ht="35.1" customHeight="1" x14ac:dyDescent="0.3">
      <c r="A295" s="13">
        <v>29</v>
      </c>
      <c r="B295" s="14" t="s">
        <v>12</v>
      </c>
      <c r="C295" s="15" t="s">
        <v>485</v>
      </c>
      <c r="D295" s="16" t="s">
        <v>486</v>
      </c>
      <c r="E295" s="17">
        <f>E296</f>
        <v>65.925000000000011</v>
      </c>
      <c r="F295" s="18" t="s">
        <v>13</v>
      </c>
      <c r="G295" s="19"/>
      <c r="H295" s="20">
        <f t="shared" si="10"/>
        <v>0</v>
      </c>
      <c r="J295" s="139">
        <v>7.1000000000000002E-4</v>
      </c>
      <c r="K295" s="145">
        <f t="shared" ref="K295" si="12">E295*J295</f>
        <v>4.6806750000000008E-2</v>
      </c>
      <c r="L295" s="139">
        <f>0</f>
        <v>0</v>
      </c>
      <c r="M295" s="146" t="e">
        <f>L295*#REF!</f>
        <v>#REF!</v>
      </c>
    </row>
    <row r="296" spans="1:13" s="4" customFormat="1" ht="35.1" customHeight="1" x14ac:dyDescent="0.3">
      <c r="A296" s="13"/>
      <c r="B296" s="14"/>
      <c r="C296" s="15"/>
      <c r="D296" s="24" t="s">
        <v>487</v>
      </c>
      <c r="E296" s="25">
        <f>E268*1.5</f>
        <v>65.925000000000011</v>
      </c>
      <c r="F296" s="26" t="s">
        <v>13</v>
      </c>
      <c r="G296" s="27"/>
      <c r="H296" s="20"/>
      <c r="J296" s="139"/>
      <c r="K296" s="145"/>
      <c r="L296" s="139"/>
      <c r="M296" s="146"/>
    </row>
    <row r="297" spans="1:13" s="110" customFormat="1" ht="35.1" customHeight="1" x14ac:dyDescent="0.3">
      <c r="A297" s="103"/>
      <c r="B297" s="104"/>
      <c r="C297" s="105"/>
      <c r="D297" s="93"/>
      <c r="E297" s="107"/>
      <c r="F297" s="108"/>
      <c r="G297" s="109"/>
      <c r="H297" s="20"/>
      <c r="J297" s="144"/>
      <c r="K297" s="145"/>
      <c r="L297" s="144"/>
      <c r="M297" s="149"/>
    </row>
    <row r="298" spans="1:13" s="4" customFormat="1" ht="35.1" customHeight="1" x14ac:dyDescent="0.3">
      <c r="A298" s="13">
        <v>30</v>
      </c>
      <c r="B298" s="14" t="s">
        <v>12</v>
      </c>
      <c r="C298" s="15" t="s">
        <v>481</v>
      </c>
      <c r="D298" s="16" t="s">
        <v>482</v>
      </c>
      <c r="E298" s="17">
        <f>E301</f>
        <v>51.55</v>
      </c>
      <c r="F298" s="18" t="s">
        <v>13</v>
      </c>
      <c r="G298" s="19"/>
      <c r="H298" s="20">
        <f t="shared" si="10"/>
        <v>0</v>
      </c>
      <c r="J298" s="139">
        <v>0.15559000000000001</v>
      </c>
      <c r="K298" s="145">
        <f t="shared" si="11"/>
        <v>8.0206645000000005</v>
      </c>
      <c r="L298" s="139">
        <v>0</v>
      </c>
      <c r="M298" s="146" t="e">
        <f>L298*#REF!</f>
        <v>#REF!</v>
      </c>
    </row>
    <row r="299" spans="1:13" s="4" customFormat="1" ht="35.1" customHeight="1" x14ac:dyDescent="0.3">
      <c r="A299" s="13"/>
      <c r="B299" s="14"/>
      <c r="C299" s="15"/>
      <c r="D299" s="24" t="s">
        <v>447</v>
      </c>
      <c r="E299" s="25">
        <f>E277</f>
        <v>46.349999999999994</v>
      </c>
      <c r="F299" s="26" t="s">
        <v>13</v>
      </c>
      <c r="G299" s="19"/>
      <c r="H299" s="20"/>
      <c r="J299" s="139"/>
      <c r="K299" s="145"/>
      <c r="L299" s="139"/>
      <c r="M299" s="146"/>
    </row>
    <row r="300" spans="1:13" s="4" customFormat="1" ht="35.1" customHeight="1" x14ac:dyDescent="0.3">
      <c r="A300" s="13"/>
      <c r="B300" s="14"/>
      <c r="C300" s="15"/>
      <c r="D300" s="24" t="s">
        <v>314</v>
      </c>
      <c r="E300" s="25">
        <f>1*(2*3.6-1.5-0.5)</f>
        <v>5.2</v>
      </c>
      <c r="F300" s="26" t="s">
        <v>13</v>
      </c>
      <c r="G300" s="19"/>
      <c r="H300" s="20"/>
      <c r="J300" s="139"/>
      <c r="K300" s="145"/>
      <c r="L300" s="139"/>
      <c r="M300" s="146"/>
    </row>
    <row r="301" spans="1:13" s="4" customFormat="1" ht="35.1" customHeight="1" x14ac:dyDescent="0.3">
      <c r="A301" s="13"/>
      <c r="B301" s="14"/>
      <c r="C301" s="15"/>
      <c r="D301" s="121" t="s">
        <v>18</v>
      </c>
      <c r="E301" s="122">
        <f>SUM(E299:E300)</f>
        <v>51.55</v>
      </c>
      <c r="F301" s="123" t="s">
        <v>13</v>
      </c>
      <c r="G301" s="19"/>
      <c r="H301" s="20"/>
      <c r="J301" s="139"/>
      <c r="K301" s="145"/>
      <c r="L301" s="139"/>
      <c r="M301" s="146"/>
    </row>
    <row r="302" spans="1:13" s="71" customFormat="1" ht="35.1" customHeight="1" x14ac:dyDescent="0.2">
      <c r="A302" s="66"/>
      <c r="B302" s="67" t="s">
        <v>3</v>
      </c>
      <c r="C302" s="67" t="s">
        <v>19</v>
      </c>
      <c r="D302" s="67" t="s">
        <v>171</v>
      </c>
      <c r="E302" s="68"/>
      <c r="F302" s="67"/>
      <c r="G302" s="69"/>
      <c r="H302" s="70">
        <f>SUM(H273:H301)</f>
        <v>0</v>
      </c>
      <c r="J302" s="136"/>
      <c r="K302" s="145"/>
      <c r="L302" s="136"/>
      <c r="M302" s="138"/>
    </row>
    <row r="303" spans="1:13" s="71" customFormat="1" ht="35.1" customHeight="1" x14ac:dyDescent="0.2">
      <c r="A303" s="66"/>
      <c r="B303" s="67"/>
      <c r="C303" s="67"/>
      <c r="D303" s="67"/>
      <c r="E303" s="68"/>
      <c r="F303" s="67"/>
      <c r="G303" s="69"/>
      <c r="H303" s="70"/>
      <c r="J303" s="136"/>
      <c r="K303" s="145"/>
      <c r="L303" s="136"/>
      <c r="M303" s="138"/>
    </row>
    <row r="304" spans="1:13" s="71" customFormat="1" ht="35.1" customHeight="1" x14ac:dyDescent="0.2">
      <c r="A304" s="66"/>
      <c r="B304" s="67" t="s">
        <v>3</v>
      </c>
      <c r="C304" s="67" t="s">
        <v>22</v>
      </c>
      <c r="D304" s="67" t="s">
        <v>64</v>
      </c>
      <c r="E304" s="68"/>
      <c r="F304" s="67"/>
      <c r="G304" s="69"/>
      <c r="H304" s="70"/>
      <c r="J304" s="136"/>
      <c r="K304" s="145"/>
      <c r="L304" s="136"/>
      <c r="M304" s="138"/>
    </row>
    <row r="305" spans="1:13" s="4" customFormat="1" ht="35.1" customHeight="1" x14ac:dyDescent="0.3">
      <c r="A305" s="13">
        <v>31</v>
      </c>
      <c r="B305" s="14" t="s">
        <v>12</v>
      </c>
      <c r="C305" s="15" t="s">
        <v>579</v>
      </c>
      <c r="D305" s="16" t="s">
        <v>489</v>
      </c>
      <c r="E305" s="17">
        <f>5+5+75+2+5</f>
        <v>92</v>
      </c>
      <c r="F305" s="18" t="s">
        <v>66</v>
      </c>
      <c r="G305" s="19"/>
      <c r="H305" s="20">
        <f>E305*G305</f>
        <v>0</v>
      </c>
      <c r="J305" s="139">
        <v>0</v>
      </c>
      <c r="K305" s="145">
        <f t="shared" si="11"/>
        <v>0</v>
      </c>
      <c r="L305" s="139">
        <v>3.065E-2</v>
      </c>
      <c r="M305" s="146" t="e">
        <f>L305*#REF!</f>
        <v>#REF!</v>
      </c>
    </row>
    <row r="306" spans="1:13" s="29" customFormat="1" ht="35.1" customHeight="1" x14ac:dyDescent="0.3">
      <c r="A306" s="21"/>
      <c r="B306" s="22"/>
      <c r="C306" s="23"/>
      <c r="D306" s="24"/>
      <c r="E306" s="25"/>
      <c r="F306" s="26"/>
      <c r="G306" s="27"/>
      <c r="H306" s="20"/>
      <c r="J306" s="140"/>
      <c r="K306" s="145"/>
      <c r="L306" s="140"/>
      <c r="M306" s="146"/>
    </row>
    <row r="307" spans="1:13" s="4" customFormat="1" ht="35.1" customHeight="1" x14ac:dyDescent="0.3">
      <c r="A307" s="13">
        <v>32</v>
      </c>
      <c r="B307" s="14" t="s">
        <v>12</v>
      </c>
      <c r="C307" s="15" t="s">
        <v>67</v>
      </c>
      <c r="D307" s="16" t="s">
        <v>68</v>
      </c>
      <c r="E307" s="17">
        <v>1</v>
      </c>
      <c r="F307" s="18" t="s">
        <v>69</v>
      </c>
      <c r="G307" s="19"/>
      <c r="H307" s="20">
        <f t="shared" ref="H307:H367" si="13">E307*G307</f>
        <v>0</v>
      </c>
      <c r="J307" s="139">
        <v>0</v>
      </c>
      <c r="K307" s="145">
        <f t="shared" si="11"/>
        <v>0</v>
      </c>
      <c r="L307" s="139">
        <v>3.9E-2</v>
      </c>
      <c r="M307" s="146" t="e">
        <f>L307*#REF!</f>
        <v>#REF!</v>
      </c>
    </row>
    <row r="308" spans="1:13" s="29" customFormat="1" ht="35.1" customHeight="1" x14ac:dyDescent="0.3">
      <c r="A308" s="21"/>
      <c r="B308" s="22"/>
      <c r="C308" s="23"/>
      <c r="D308" s="24"/>
      <c r="E308" s="25"/>
      <c r="F308" s="26"/>
      <c r="G308" s="27"/>
      <c r="H308" s="20"/>
      <c r="J308" s="140"/>
      <c r="K308" s="145"/>
      <c r="L308" s="140"/>
      <c r="M308" s="146"/>
    </row>
    <row r="309" spans="1:13" s="4" customFormat="1" ht="35.1" customHeight="1" x14ac:dyDescent="0.3">
      <c r="A309" s="13">
        <v>33</v>
      </c>
      <c r="B309" s="14" t="s">
        <v>12</v>
      </c>
      <c r="C309" s="15" t="s">
        <v>70</v>
      </c>
      <c r="D309" s="16" t="s">
        <v>71</v>
      </c>
      <c r="E309" s="17">
        <v>2</v>
      </c>
      <c r="F309" s="18" t="s">
        <v>69</v>
      </c>
      <c r="G309" s="19"/>
      <c r="H309" s="20">
        <f t="shared" si="13"/>
        <v>0</v>
      </c>
      <c r="J309" s="139">
        <v>0</v>
      </c>
      <c r="K309" s="145">
        <f t="shared" si="11"/>
        <v>0</v>
      </c>
      <c r="L309" s="139">
        <v>0.13400000000000001</v>
      </c>
      <c r="M309" s="146" t="e">
        <f>L309*#REF!</f>
        <v>#REF!</v>
      </c>
    </row>
    <row r="310" spans="1:13" s="29" customFormat="1" ht="35.1" customHeight="1" x14ac:dyDescent="0.3">
      <c r="A310" s="21"/>
      <c r="B310" s="22"/>
      <c r="C310" s="23"/>
      <c r="D310" s="24"/>
      <c r="E310" s="25"/>
      <c r="F310" s="26"/>
      <c r="G310" s="27"/>
      <c r="H310" s="20"/>
      <c r="J310" s="140"/>
      <c r="K310" s="145"/>
      <c r="L310" s="140"/>
      <c r="M310" s="146"/>
    </row>
    <row r="311" spans="1:13" s="4" customFormat="1" ht="35.1" customHeight="1" x14ac:dyDescent="0.3">
      <c r="A311" s="13">
        <v>34</v>
      </c>
      <c r="B311" s="14" t="s">
        <v>12</v>
      </c>
      <c r="C311" s="15" t="s">
        <v>72</v>
      </c>
      <c r="D311" s="16" t="s">
        <v>73</v>
      </c>
      <c r="E311" s="17">
        <v>1</v>
      </c>
      <c r="F311" s="18" t="s">
        <v>69</v>
      </c>
      <c r="G311" s="19"/>
      <c r="H311" s="20">
        <f t="shared" si="13"/>
        <v>0</v>
      </c>
      <c r="J311" s="139">
        <v>0</v>
      </c>
      <c r="K311" s="145">
        <f t="shared" si="11"/>
        <v>0</v>
      </c>
      <c r="L311" s="139">
        <v>2.2599999999999999E-2</v>
      </c>
      <c r="M311" s="146" t="e">
        <f>L311*#REF!</f>
        <v>#REF!</v>
      </c>
    </row>
    <row r="312" spans="1:13" s="4" customFormat="1" ht="35.1" customHeight="1" x14ac:dyDescent="0.3">
      <c r="A312" s="13"/>
      <c r="B312" s="14"/>
      <c r="C312" s="15"/>
      <c r="D312" s="16"/>
      <c r="E312" s="17"/>
      <c r="F312" s="18"/>
      <c r="G312" s="19"/>
      <c r="H312" s="20"/>
      <c r="J312" s="139"/>
      <c r="K312" s="145"/>
      <c r="L312" s="139"/>
      <c r="M312" s="146"/>
    </row>
    <row r="313" spans="1:13" s="4" customFormat="1" ht="35.1" customHeight="1" x14ac:dyDescent="0.3">
      <c r="A313" s="13">
        <v>35</v>
      </c>
      <c r="B313" s="14" t="s">
        <v>12</v>
      </c>
      <c r="C313" s="15" t="s">
        <v>72</v>
      </c>
      <c r="D313" s="16" t="s">
        <v>488</v>
      </c>
      <c r="E313" s="17">
        <v>2</v>
      </c>
      <c r="F313" s="18" t="s">
        <v>69</v>
      </c>
      <c r="G313" s="19"/>
      <c r="H313" s="20">
        <f t="shared" si="13"/>
        <v>0</v>
      </c>
      <c r="J313" s="139">
        <v>0</v>
      </c>
      <c r="K313" s="145">
        <f t="shared" ref="K313" si="14">E313*J313</f>
        <v>0</v>
      </c>
      <c r="L313" s="139">
        <v>2.2599999999999999E-2</v>
      </c>
      <c r="M313" s="146" t="e">
        <f>L313*#REF!</f>
        <v>#REF!</v>
      </c>
    </row>
    <row r="314" spans="1:13" s="29" customFormat="1" ht="35.1" customHeight="1" x14ac:dyDescent="0.3">
      <c r="A314" s="21"/>
      <c r="B314" s="22"/>
      <c r="C314" s="23"/>
      <c r="D314" s="24"/>
      <c r="E314" s="25"/>
      <c r="F314" s="26"/>
      <c r="G314" s="27"/>
      <c r="H314" s="20"/>
      <c r="J314" s="140"/>
      <c r="K314" s="145"/>
      <c r="L314" s="140"/>
      <c r="M314" s="146"/>
    </row>
    <row r="315" spans="1:13" s="4" customFormat="1" ht="35.1" customHeight="1" x14ac:dyDescent="0.3">
      <c r="A315" s="13">
        <v>36</v>
      </c>
      <c r="B315" s="14" t="s">
        <v>12</v>
      </c>
      <c r="C315" s="15" t="s">
        <v>74</v>
      </c>
      <c r="D315" s="16" t="s">
        <v>75</v>
      </c>
      <c r="E315" s="17">
        <v>2</v>
      </c>
      <c r="F315" s="18" t="s">
        <v>69</v>
      </c>
      <c r="G315" s="19"/>
      <c r="H315" s="20">
        <f t="shared" si="13"/>
        <v>0</v>
      </c>
      <c r="J315" s="139">
        <v>0</v>
      </c>
      <c r="K315" s="145">
        <f t="shared" si="11"/>
        <v>0</v>
      </c>
      <c r="L315" s="139">
        <v>0.05</v>
      </c>
      <c r="M315" s="146" t="e">
        <f>L315*#REF!</f>
        <v>#REF!</v>
      </c>
    </row>
    <row r="316" spans="1:13" s="29" customFormat="1" ht="35.1" customHeight="1" x14ac:dyDescent="0.3">
      <c r="A316" s="21"/>
      <c r="B316" s="22"/>
      <c r="C316" s="23"/>
      <c r="D316" s="24"/>
      <c r="E316" s="25"/>
      <c r="F316" s="26"/>
      <c r="G316" s="27"/>
      <c r="H316" s="20"/>
      <c r="J316" s="140"/>
      <c r="K316" s="145"/>
      <c r="L316" s="140"/>
      <c r="M316" s="146"/>
    </row>
    <row r="317" spans="1:13" s="4" customFormat="1" ht="35.1" customHeight="1" x14ac:dyDescent="0.3">
      <c r="A317" s="13">
        <v>37</v>
      </c>
      <c r="B317" s="14" t="s">
        <v>12</v>
      </c>
      <c r="C317" s="15" t="s">
        <v>76</v>
      </c>
      <c r="D317" s="16" t="s">
        <v>77</v>
      </c>
      <c r="E317" s="17">
        <v>4</v>
      </c>
      <c r="F317" s="18" t="s">
        <v>69</v>
      </c>
      <c r="G317" s="19"/>
      <c r="H317" s="20">
        <f t="shared" si="13"/>
        <v>0</v>
      </c>
      <c r="J317" s="139">
        <v>0</v>
      </c>
      <c r="K317" s="145">
        <f t="shared" si="11"/>
        <v>0</v>
      </c>
      <c r="L317" s="139">
        <v>7.6800000000000002E-3</v>
      </c>
      <c r="M317" s="146" t="e">
        <f>L317*#REF!</f>
        <v>#REF!</v>
      </c>
    </row>
    <row r="318" spans="1:13" s="29" customFormat="1" ht="35.1" customHeight="1" x14ac:dyDescent="0.3">
      <c r="A318" s="21"/>
      <c r="B318" s="22"/>
      <c r="C318" s="23"/>
      <c r="D318" s="24"/>
      <c r="E318" s="25"/>
      <c r="F318" s="26"/>
      <c r="G318" s="27"/>
      <c r="H318" s="20"/>
      <c r="J318" s="140"/>
      <c r="K318" s="145"/>
      <c r="L318" s="140"/>
      <c r="M318" s="146"/>
    </row>
    <row r="319" spans="1:13" s="4" customFormat="1" ht="35.1" customHeight="1" x14ac:dyDescent="0.3">
      <c r="A319" s="13">
        <v>38</v>
      </c>
      <c r="B319" s="14" t="s">
        <v>12</v>
      </c>
      <c r="C319" s="15" t="s">
        <v>78</v>
      </c>
      <c r="D319" s="16" t="s">
        <v>79</v>
      </c>
      <c r="E319" s="17">
        <v>4</v>
      </c>
      <c r="F319" s="18" t="s">
        <v>69</v>
      </c>
      <c r="G319" s="19"/>
      <c r="H319" s="20">
        <f t="shared" si="13"/>
        <v>0</v>
      </c>
      <c r="J319" s="139">
        <v>0</v>
      </c>
      <c r="K319" s="145">
        <f t="shared" si="11"/>
        <v>0</v>
      </c>
      <c r="L319" s="139">
        <v>4.4999999999999999E-4</v>
      </c>
      <c r="M319" s="146" t="e">
        <f>L319*#REF!</f>
        <v>#REF!</v>
      </c>
    </row>
    <row r="320" spans="1:13" s="29" customFormat="1" ht="35.1" customHeight="1" x14ac:dyDescent="0.3">
      <c r="A320" s="21"/>
      <c r="B320" s="22"/>
      <c r="C320" s="23"/>
      <c r="D320" s="24"/>
      <c r="E320" s="25"/>
      <c r="F320" s="26"/>
      <c r="G320" s="27"/>
      <c r="H320" s="20"/>
      <c r="J320" s="140"/>
      <c r="K320" s="145"/>
      <c r="L320" s="140"/>
      <c r="M320" s="146"/>
    </row>
    <row r="321" spans="1:13" s="4" customFormat="1" ht="35.1" customHeight="1" x14ac:dyDescent="0.3">
      <c r="A321" s="13">
        <v>39</v>
      </c>
      <c r="B321" s="14" t="s">
        <v>12</v>
      </c>
      <c r="C321" s="195" t="s">
        <v>564</v>
      </c>
      <c r="D321" s="202" t="s">
        <v>524</v>
      </c>
      <c r="E321" s="17">
        <v>2</v>
      </c>
      <c r="F321" s="18" t="s">
        <v>66</v>
      </c>
      <c r="G321" s="19"/>
      <c r="H321" s="20">
        <f t="shared" si="13"/>
        <v>0</v>
      </c>
      <c r="J321" s="139"/>
      <c r="K321" s="145">
        <f t="shared" si="11"/>
        <v>0</v>
      </c>
      <c r="L321" s="139"/>
      <c r="M321" s="146"/>
    </row>
    <row r="322" spans="1:13" s="198" customFormat="1" ht="35.1" customHeight="1" x14ac:dyDescent="0.3">
      <c r="A322" s="189"/>
      <c r="B322" s="190"/>
      <c r="C322" s="191"/>
      <c r="D322" s="192"/>
      <c r="E322" s="196"/>
      <c r="F322" s="197"/>
      <c r="G322" s="27"/>
      <c r="H322" s="20"/>
      <c r="J322" s="199"/>
      <c r="K322" s="145"/>
      <c r="L322" s="199"/>
      <c r="M322" s="188"/>
    </row>
    <row r="323" spans="1:13" s="198" customFormat="1" ht="35.1" customHeight="1" x14ac:dyDescent="0.3">
      <c r="A323" s="256">
        <v>40</v>
      </c>
      <c r="B323" s="14" t="s">
        <v>47</v>
      </c>
      <c r="C323" s="191" t="s">
        <v>119</v>
      </c>
      <c r="D323" s="192" t="s">
        <v>525</v>
      </c>
      <c r="E323" s="196">
        <f>E321*1.01</f>
        <v>2.02</v>
      </c>
      <c r="F323" s="197" t="s">
        <v>66</v>
      </c>
      <c r="G323" s="27"/>
      <c r="H323" s="20">
        <f t="shared" si="13"/>
        <v>0</v>
      </c>
      <c r="J323" s="199"/>
      <c r="K323" s="145">
        <f t="shared" si="11"/>
        <v>0</v>
      </c>
      <c r="L323" s="199"/>
      <c r="M323" s="188"/>
    </row>
    <row r="324" spans="1:13" s="29" customFormat="1" ht="35.1" customHeight="1" x14ac:dyDescent="0.3">
      <c r="A324" s="257"/>
      <c r="B324" s="22"/>
      <c r="C324" s="23"/>
      <c r="D324" s="24" t="s">
        <v>362</v>
      </c>
      <c r="E324" s="25"/>
      <c r="F324" s="26"/>
      <c r="G324" s="27"/>
      <c r="H324" s="20"/>
      <c r="J324" s="140"/>
      <c r="K324" s="145"/>
      <c r="L324" s="140"/>
      <c r="M324" s="146"/>
    </row>
    <row r="325" spans="1:13" s="29" customFormat="1" ht="35.1" customHeight="1" x14ac:dyDescent="0.3">
      <c r="A325" s="257"/>
      <c r="B325" s="22"/>
      <c r="C325" s="23"/>
      <c r="D325" s="24"/>
      <c r="E325" s="25"/>
      <c r="F325" s="26"/>
      <c r="G325" s="27"/>
      <c r="H325" s="20"/>
      <c r="J325" s="140"/>
      <c r="K325" s="145"/>
      <c r="L325" s="140"/>
      <c r="M325" s="146"/>
    </row>
    <row r="326" spans="1:13" s="29" customFormat="1" ht="35.1" customHeight="1" x14ac:dyDescent="0.3">
      <c r="A326" s="257">
        <v>41</v>
      </c>
      <c r="B326" s="14" t="s">
        <v>12</v>
      </c>
      <c r="C326" s="15" t="s">
        <v>354</v>
      </c>
      <c r="D326" s="16" t="s">
        <v>355</v>
      </c>
      <c r="E326" s="17">
        <v>5</v>
      </c>
      <c r="F326" s="18" t="s">
        <v>66</v>
      </c>
      <c r="G326" s="19"/>
      <c r="H326" s="20">
        <f t="shared" si="13"/>
        <v>0</v>
      </c>
      <c r="J326" s="140"/>
      <c r="K326" s="145">
        <f t="shared" si="11"/>
        <v>0</v>
      </c>
      <c r="L326" s="140"/>
      <c r="M326" s="146"/>
    </row>
    <row r="327" spans="1:13" s="29" customFormat="1" ht="35.1" customHeight="1" x14ac:dyDescent="0.3">
      <c r="A327" s="21"/>
      <c r="B327" s="22"/>
      <c r="C327" s="23"/>
      <c r="D327" s="24"/>
      <c r="E327" s="25"/>
      <c r="F327" s="26"/>
      <c r="G327" s="27"/>
      <c r="H327" s="20"/>
      <c r="J327" s="140"/>
      <c r="K327" s="145"/>
      <c r="L327" s="140"/>
      <c r="M327" s="146"/>
    </row>
    <row r="328" spans="1:13" s="29" customFormat="1" ht="35.1" customHeight="1" x14ac:dyDescent="0.3">
      <c r="A328" s="36">
        <v>42</v>
      </c>
      <c r="B328" s="37" t="s">
        <v>47</v>
      </c>
      <c r="C328" s="38" t="s">
        <v>574</v>
      </c>
      <c r="D328" s="39" t="s">
        <v>356</v>
      </c>
      <c r="E328" s="40">
        <f>E329</f>
        <v>5.0999999999999996</v>
      </c>
      <c r="F328" s="41" t="s">
        <v>66</v>
      </c>
      <c r="G328" s="42"/>
      <c r="H328" s="43">
        <f t="shared" si="13"/>
        <v>0</v>
      </c>
      <c r="J328" s="140">
        <v>3.1800000000000001E-3</v>
      </c>
      <c r="K328" s="145">
        <f t="shared" si="11"/>
        <v>1.6218E-2</v>
      </c>
      <c r="L328" s="140"/>
      <c r="M328" s="146"/>
    </row>
    <row r="329" spans="1:13" s="29" customFormat="1" ht="35.1" customHeight="1" x14ac:dyDescent="0.3">
      <c r="A329" s="21"/>
      <c r="B329" s="22"/>
      <c r="C329" s="23"/>
      <c r="D329" s="24" t="s">
        <v>261</v>
      </c>
      <c r="E329" s="25">
        <f>E326*1.02</f>
        <v>5.0999999999999996</v>
      </c>
      <c r="F329" s="26" t="s">
        <v>66</v>
      </c>
      <c r="G329" s="27"/>
      <c r="H329" s="20"/>
      <c r="J329" s="140"/>
      <c r="K329" s="145"/>
      <c r="L329" s="140"/>
      <c r="M329" s="146"/>
    </row>
    <row r="330" spans="1:13" s="29" customFormat="1" ht="35.1" customHeight="1" x14ac:dyDescent="0.3">
      <c r="A330" s="21"/>
      <c r="B330" s="22"/>
      <c r="C330" s="23"/>
      <c r="D330" s="24"/>
      <c r="E330" s="25"/>
      <c r="F330" s="26"/>
      <c r="G330" s="27"/>
      <c r="H330" s="20"/>
      <c r="J330" s="140"/>
      <c r="K330" s="145"/>
      <c r="L330" s="140"/>
      <c r="M330" s="146"/>
    </row>
    <row r="331" spans="1:13" s="4" customFormat="1" ht="35.1" customHeight="1" x14ac:dyDescent="0.3">
      <c r="A331" s="13">
        <v>43</v>
      </c>
      <c r="B331" s="14" t="s">
        <v>12</v>
      </c>
      <c r="C331" s="15" t="s">
        <v>260</v>
      </c>
      <c r="D331" s="16" t="s">
        <v>259</v>
      </c>
      <c r="E331" s="17">
        <f>75+2*5</f>
        <v>85</v>
      </c>
      <c r="F331" s="18" t="s">
        <v>66</v>
      </c>
      <c r="G331" s="19"/>
      <c r="H331" s="20">
        <f t="shared" si="13"/>
        <v>0</v>
      </c>
      <c r="J331" s="139">
        <v>0</v>
      </c>
      <c r="K331" s="145">
        <f t="shared" si="11"/>
        <v>0</v>
      </c>
      <c r="L331" s="139">
        <v>0</v>
      </c>
      <c r="M331" s="146" t="e">
        <f>L331*#REF!</f>
        <v>#REF!</v>
      </c>
    </row>
    <row r="332" spans="1:13" s="29" customFormat="1" ht="35.1" customHeight="1" x14ac:dyDescent="0.3">
      <c r="A332" s="21"/>
      <c r="B332" s="22"/>
      <c r="C332" s="23"/>
      <c r="D332" s="24"/>
      <c r="E332" s="25"/>
      <c r="F332" s="26"/>
      <c r="G332" s="27"/>
      <c r="H332" s="20"/>
      <c r="J332" s="140"/>
      <c r="K332" s="145"/>
      <c r="L332" s="140"/>
      <c r="M332" s="149"/>
    </row>
    <row r="333" spans="1:13" s="4" customFormat="1" ht="35.1" customHeight="1" x14ac:dyDescent="0.3">
      <c r="A333" s="36">
        <v>44</v>
      </c>
      <c r="B333" s="37" t="s">
        <v>47</v>
      </c>
      <c r="C333" s="38" t="s">
        <v>573</v>
      </c>
      <c r="D333" s="39" t="s">
        <v>258</v>
      </c>
      <c r="E333" s="40">
        <f>E331*1.02</f>
        <v>86.7</v>
      </c>
      <c r="F333" s="41" t="s">
        <v>66</v>
      </c>
      <c r="G333" s="42"/>
      <c r="H333" s="43">
        <f t="shared" si="13"/>
        <v>0</v>
      </c>
      <c r="J333" s="139">
        <f>0.00318/0.11*0.16</f>
        <v>4.6254545454545454E-3</v>
      </c>
      <c r="K333" s="145">
        <f t="shared" si="11"/>
        <v>0.4010269090909091</v>
      </c>
      <c r="L333" s="139">
        <v>0</v>
      </c>
      <c r="M333" s="146" t="e">
        <f>L333*#REF!</f>
        <v>#REF!</v>
      </c>
    </row>
    <row r="334" spans="1:13" s="29" customFormat="1" ht="35.1" customHeight="1" x14ac:dyDescent="0.3">
      <c r="A334" s="21"/>
      <c r="B334" s="22"/>
      <c r="C334" s="23"/>
      <c r="D334" s="24" t="s">
        <v>261</v>
      </c>
      <c r="E334" s="25">
        <f>E331*1.02</f>
        <v>86.7</v>
      </c>
      <c r="F334" s="26" t="s">
        <v>66</v>
      </c>
      <c r="G334" s="27"/>
      <c r="H334" s="20"/>
      <c r="J334" s="140"/>
      <c r="K334" s="145"/>
      <c r="L334" s="140"/>
      <c r="M334" s="146"/>
    </row>
    <row r="335" spans="1:13" s="29" customFormat="1" ht="35.1" customHeight="1" x14ac:dyDescent="0.3">
      <c r="A335" s="21"/>
      <c r="B335" s="22"/>
      <c r="C335" s="23"/>
      <c r="D335" s="24"/>
      <c r="E335" s="25"/>
      <c r="F335" s="26"/>
      <c r="G335" s="27"/>
      <c r="H335" s="20"/>
      <c r="J335" s="140"/>
      <c r="K335" s="145"/>
      <c r="L335" s="140"/>
      <c r="M335" s="146"/>
    </row>
    <row r="336" spans="1:13" s="4" customFormat="1" ht="35.1" customHeight="1" x14ac:dyDescent="0.3">
      <c r="A336" s="13">
        <v>45</v>
      </c>
      <c r="B336" s="14" t="s">
        <v>12</v>
      </c>
      <c r="C336" s="15" t="s">
        <v>80</v>
      </c>
      <c r="D336" s="16" t="s">
        <v>81</v>
      </c>
      <c r="E336" s="17">
        <f>E340</f>
        <v>29.5</v>
      </c>
      <c r="F336" s="18" t="s">
        <v>66</v>
      </c>
      <c r="G336" s="19"/>
      <c r="H336" s="20">
        <f t="shared" si="13"/>
        <v>0</v>
      </c>
      <c r="J336" s="139">
        <v>0</v>
      </c>
      <c r="K336" s="145">
        <f t="shared" si="11"/>
        <v>0</v>
      </c>
      <c r="L336" s="139">
        <v>0</v>
      </c>
      <c r="M336" s="146" t="e">
        <f>L336*#REF!</f>
        <v>#REF!</v>
      </c>
    </row>
    <row r="337" spans="1:13" s="29" customFormat="1" ht="35.1" customHeight="1" x14ac:dyDescent="0.3">
      <c r="A337" s="21"/>
      <c r="B337" s="22"/>
      <c r="C337" s="23"/>
      <c r="D337" s="90" t="s">
        <v>565</v>
      </c>
      <c r="E337" s="25">
        <f>4.3+4.7+4.4+5-4*0.5</f>
        <v>16.399999999999999</v>
      </c>
      <c r="F337" s="26" t="s">
        <v>66</v>
      </c>
      <c r="G337" s="27"/>
      <c r="H337" s="20"/>
      <c r="J337" s="140"/>
      <c r="K337" s="145"/>
      <c r="L337" s="140"/>
      <c r="M337" s="146"/>
    </row>
    <row r="338" spans="1:13" s="29" customFormat="1" ht="35.1" customHeight="1" x14ac:dyDescent="0.3">
      <c r="A338" s="21"/>
      <c r="B338" s="22"/>
      <c r="C338" s="23"/>
      <c r="D338" s="90" t="s">
        <v>566</v>
      </c>
      <c r="E338" s="25">
        <f>5*2</f>
        <v>10</v>
      </c>
      <c r="F338" s="26" t="s">
        <v>66</v>
      </c>
      <c r="G338" s="27"/>
      <c r="H338" s="20"/>
      <c r="J338" s="140"/>
      <c r="K338" s="145"/>
      <c r="L338" s="140"/>
      <c r="M338" s="146"/>
    </row>
    <row r="339" spans="1:13" s="29" customFormat="1" ht="35.1" customHeight="1" x14ac:dyDescent="0.3">
      <c r="A339" s="21"/>
      <c r="B339" s="22"/>
      <c r="C339" s="23"/>
      <c r="D339" s="248" t="s">
        <v>378</v>
      </c>
      <c r="E339" s="122">
        <f>3.6-0.5</f>
        <v>3.1</v>
      </c>
      <c r="F339" s="123" t="s">
        <v>66</v>
      </c>
      <c r="G339" s="27"/>
      <c r="H339" s="20"/>
      <c r="J339" s="140"/>
      <c r="K339" s="145"/>
      <c r="L339" s="140"/>
      <c r="M339" s="146"/>
    </row>
    <row r="340" spans="1:13" s="29" customFormat="1" ht="35.1" customHeight="1" x14ac:dyDescent="0.3">
      <c r="A340" s="21"/>
      <c r="B340" s="22"/>
      <c r="C340" s="23"/>
      <c r="D340" s="248" t="s">
        <v>18</v>
      </c>
      <c r="E340" s="122">
        <f>SUM(E337:E339)</f>
        <v>29.5</v>
      </c>
      <c r="F340" s="123" t="s">
        <v>66</v>
      </c>
      <c r="G340" s="27"/>
      <c r="H340" s="20"/>
      <c r="J340" s="140"/>
      <c r="K340" s="145"/>
      <c r="L340" s="140"/>
      <c r="M340" s="146"/>
    </row>
    <row r="341" spans="1:13" s="29" customFormat="1" ht="35.1" customHeight="1" x14ac:dyDescent="0.3">
      <c r="A341" s="21"/>
      <c r="B341" s="22"/>
      <c r="C341" s="23"/>
      <c r="D341" s="90"/>
      <c r="E341" s="25"/>
      <c r="F341" s="26"/>
      <c r="G341" s="27"/>
      <c r="H341" s="20"/>
      <c r="J341" s="140"/>
      <c r="K341" s="145"/>
      <c r="L341" s="140"/>
      <c r="M341" s="146"/>
    </row>
    <row r="342" spans="1:13" s="29" customFormat="1" ht="35.1" customHeight="1" x14ac:dyDescent="0.3">
      <c r="A342" s="36">
        <v>46</v>
      </c>
      <c r="B342" s="37" t="s">
        <v>47</v>
      </c>
      <c r="C342" s="38" t="s">
        <v>572</v>
      </c>
      <c r="D342" s="39" t="s">
        <v>490</v>
      </c>
      <c r="E342" s="40">
        <f>E343</f>
        <v>30.09</v>
      </c>
      <c r="F342" s="41" t="s">
        <v>66</v>
      </c>
      <c r="G342" s="42"/>
      <c r="H342" s="43">
        <f t="shared" si="13"/>
        <v>0</v>
      </c>
      <c r="J342" s="140">
        <v>2.7E-4</v>
      </c>
      <c r="K342" s="145">
        <f t="shared" si="11"/>
        <v>8.1242999999999992E-3</v>
      </c>
      <c r="L342" s="140">
        <v>0</v>
      </c>
      <c r="M342" s="146" t="e">
        <f>L342*#REF!</f>
        <v>#REF!</v>
      </c>
    </row>
    <row r="343" spans="1:13" s="29" customFormat="1" ht="35.1" customHeight="1" x14ac:dyDescent="0.3">
      <c r="A343" s="21"/>
      <c r="B343" s="22"/>
      <c r="C343" s="23"/>
      <c r="D343" s="24" t="s">
        <v>261</v>
      </c>
      <c r="E343" s="25">
        <f>E336*1.02</f>
        <v>30.09</v>
      </c>
      <c r="F343" s="26" t="s">
        <v>66</v>
      </c>
      <c r="G343" s="27"/>
      <c r="H343" s="20"/>
      <c r="J343" s="140"/>
      <c r="K343" s="145"/>
      <c r="L343" s="140"/>
      <c r="M343" s="146"/>
    </row>
    <row r="344" spans="1:13" s="29" customFormat="1" ht="35.1" customHeight="1" x14ac:dyDescent="0.3">
      <c r="A344" s="21"/>
      <c r="B344" s="22"/>
      <c r="C344" s="23"/>
      <c r="D344" s="24"/>
      <c r="E344" s="25"/>
      <c r="F344" s="26"/>
      <c r="G344" s="27"/>
      <c r="H344" s="20"/>
      <c r="J344" s="140"/>
      <c r="K344" s="145"/>
      <c r="L344" s="140"/>
      <c r="M344" s="146"/>
    </row>
    <row r="345" spans="1:13" s="29" customFormat="1" ht="35.1" customHeight="1" x14ac:dyDescent="0.3">
      <c r="A345" s="257">
        <v>47</v>
      </c>
      <c r="B345" s="14" t="s">
        <v>12</v>
      </c>
      <c r="C345" s="15" t="s">
        <v>357</v>
      </c>
      <c r="D345" s="16" t="s">
        <v>358</v>
      </c>
      <c r="E345" s="17">
        <v>1</v>
      </c>
      <c r="F345" s="18" t="s">
        <v>69</v>
      </c>
      <c r="G345" s="19"/>
      <c r="H345" s="20">
        <f t="shared" si="13"/>
        <v>0</v>
      </c>
      <c r="J345" s="140"/>
      <c r="K345" s="145">
        <f t="shared" si="11"/>
        <v>0</v>
      </c>
      <c r="L345" s="140"/>
      <c r="M345" s="146"/>
    </row>
    <row r="346" spans="1:13" s="29" customFormat="1" ht="35.1" customHeight="1" x14ac:dyDescent="0.3">
      <c r="A346" s="21"/>
      <c r="B346" s="119"/>
      <c r="C346" s="120" t="s">
        <v>0</v>
      </c>
      <c r="D346" s="121"/>
      <c r="E346" s="122"/>
      <c r="F346" s="123"/>
      <c r="G346" s="124"/>
      <c r="H346" s="20"/>
      <c r="J346" s="140"/>
      <c r="K346" s="145"/>
      <c r="L346" s="140"/>
      <c r="M346" s="146"/>
    </row>
    <row r="347" spans="1:13" s="29" customFormat="1" ht="35.1" customHeight="1" x14ac:dyDescent="0.3">
      <c r="A347" s="36">
        <v>48</v>
      </c>
      <c r="B347" s="174" t="s">
        <v>47</v>
      </c>
      <c r="C347" s="175" t="s">
        <v>571</v>
      </c>
      <c r="D347" s="176" t="s">
        <v>527</v>
      </c>
      <c r="E347" s="203">
        <v>1</v>
      </c>
      <c r="F347" s="204" t="s">
        <v>69</v>
      </c>
      <c r="G347" s="42"/>
      <c r="H347" s="43">
        <f t="shared" si="13"/>
        <v>0</v>
      </c>
      <c r="J347" s="140">
        <v>7.9000000000000008E-3</v>
      </c>
      <c r="K347" s="207">
        <f t="shared" si="11"/>
        <v>7.9000000000000008E-3</v>
      </c>
      <c r="L347" s="140"/>
      <c r="M347" s="164"/>
    </row>
    <row r="348" spans="1:13" s="29" customFormat="1" ht="35.1" customHeight="1" x14ac:dyDescent="0.3">
      <c r="A348" s="21"/>
      <c r="B348" s="22"/>
      <c r="C348" s="23"/>
      <c r="D348" s="24"/>
      <c r="E348" s="25"/>
      <c r="F348" s="26"/>
      <c r="G348" s="27"/>
      <c r="H348" s="20"/>
      <c r="J348" s="140"/>
      <c r="K348" s="145"/>
      <c r="L348" s="140"/>
      <c r="M348" s="146"/>
    </row>
    <row r="349" spans="1:13" s="4" customFormat="1" ht="35.1" customHeight="1" x14ac:dyDescent="0.3">
      <c r="A349" s="13">
        <v>49</v>
      </c>
      <c r="B349" s="14" t="s">
        <v>12</v>
      </c>
      <c r="C349" s="15" t="s">
        <v>262</v>
      </c>
      <c r="D349" s="16" t="s">
        <v>299</v>
      </c>
      <c r="E349" s="17">
        <v>19</v>
      </c>
      <c r="F349" s="18" t="s">
        <v>69</v>
      </c>
      <c r="G349" s="19"/>
      <c r="H349" s="20">
        <f t="shared" si="13"/>
        <v>0</v>
      </c>
      <c r="J349" s="139">
        <v>0</v>
      </c>
      <c r="K349" s="145">
        <f t="shared" si="11"/>
        <v>0</v>
      </c>
      <c r="L349" s="139">
        <v>0</v>
      </c>
      <c r="M349" s="146" t="e">
        <f>L349*#REF!</f>
        <v>#REF!</v>
      </c>
    </row>
    <row r="350" spans="1:13" s="125" customFormat="1" ht="35.1" customHeight="1" x14ac:dyDescent="0.3">
      <c r="A350" s="118"/>
      <c r="B350" s="119"/>
      <c r="C350" s="120"/>
      <c r="D350" s="121"/>
      <c r="E350" s="122"/>
      <c r="F350" s="123"/>
      <c r="G350" s="124"/>
      <c r="H350" s="20"/>
      <c r="J350" s="147"/>
      <c r="K350" s="145"/>
      <c r="L350" s="147"/>
      <c r="M350" s="160"/>
    </row>
    <row r="351" spans="1:13" s="126" customFormat="1" ht="35.1" customHeight="1" x14ac:dyDescent="0.3">
      <c r="A351" s="36">
        <v>50</v>
      </c>
      <c r="B351" s="37" t="s">
        <v>47</v>
      </c>
      <c r="C351" s="38" t="s">
        <v>301</v>
      </c>
      <c r="D351" s="39" t="s">
        <v>300</v>
      </c>
      <c r="E351" s="40">
        <f>E352</f>
        <v>14.999666666666666</v>
      </c>
      <c r="F351" s="41" t="s">
        <v>69</v>
      </c>
      <c r="G351" s="42"/>
      <c r="H351" s="43">
        <f t="shared" si="13"/>
        <v>0</v>
      </c>
      <c r="J351" s="148">
        <f>0.00072/0.11*0.16</f>
        <v>1.0472727272727274E-3</v>
      </c>
      <c r="K351" s="145">
        <f t="shared" ref="K351:K396" si="15">E351*J351</f>
        <v>1.5708741818181819E-2</v>
      </c>
      <c r="L351" s="148">
        <v>0</v>
      </c>
      <c r="M351" s="161" t="e">
        <f>L351*#REF!</f>
        <v>#REF!</v>
      </c>
    </row>
    <row r="352" spans="1:13" s="110" customFormat="1" ht="35.1" customHeight="1" x14ac:dyDescent="0.3">
      <c r="A352" s="103"/>
      <c r="B352" s="104"/>
      <c r="C352" s="105"/>
      <c r="D352" s="121" t="s">
        <v>363</v>
      </c>
      <c r="E352" s="122">
        <f>85/6+0.833</f>
        <v>14.999666666666666</v>
      </c>
      <c r="F352" s="123" t="s">
        <v>69</v>
      </c>
      <c r="G352" s="109"/>
      <c r="H352" s="20"/>
      <c r="J352" s="144"/>
      <c r="K352" s="145"/>
      <c r="L352" s="144"/>
      <c r="M352" s="149"/>
    </row>
    <row r="353" spans="1:13" s="110" customFormat="1" ht="35.1" customHeight="1" x14ac:dyDescent="0.3">
      <c r="A353" s="103"/>
      <c r="B353" s="104"/>
      <c r="C353" s="105"/>
      <c r="D353" s="106"/>
      <c r="E353" s="107"/>
      <c r="F353" s="108"/>
      <c r="G353" s="109"/>
      <c r="H353" s="20"/>
      <c r="J353" s="144"/>
      <c r="K353" s="145"/>
      <c r="L353" s="144"/>
      <c r="M353" s="149"/>
    </row>
    <row r="354" spans="1:13" s="4" customFormat="1" ht="35.1" customHeight="1" x14ac:dyDescent="0.3">
      <c r="A354" s="36">
        <v>51</v>
      </c>
      <c r="B354" s="37" t="s">
        <v>47</v>
      </c>
      <c r="C354" s="38" t="s">
        <v>302</v>
      </c>
      <c r="D354" s="39" t="s">
        <v>526</v>
      </c>
      <c r="E354" s="40">
        <v>4</v>
      </c>
      <c r="F354" s="41" t="s">
        <v>69</v>
      </c>
      <c r="G354" s="42"/>
      <c r="H354" s="43">
        <f t="shared" si="13"/>
        <v>0</v>
      </c>
      <c r="J354" s="139">
        <f>1.265/1000</f>
        <v>1.2649999999999998E-3</v>
      </c>
      <c r="K354" s="145">
        <f t="shared" si="15"/>
        <v>5.0599999999999994E-3</v>
      </c>
      <c r="L354" s="139">
        <v>0</v>
      </c>
      <c r="M354" s="164" t="e">
        <f>L354*#REF!</f>
        <v>#REF!</v>
      </c>
    </row>
    <row r="355" spans="1:13" s="110" customFormat="1" ht="35.1" customHeight="1" x14ac:dyDescent="0.3">
      <c r="A355" s="103"/>
      <c r="B355" s="104"/>
      <c r="C355" s="105"/>
      <c r="D355" s="106"/>
      <c r="E355" s="107"/>
      <c r="F355" s="108"/>
      <c r="G355" s="109"/>
      <c r="H355" s="20"/>
      <c r="J355" s="144"/>
      <c r="K355" s="145"/>
      <c r="L355" s="144"/>
      <c r="M355" s="149"/>
    </row>
    <row r="356" spans="1:13" s="110" customFormat="1" ht="35.1" customHeight="1" x14ac:dyDescent="0.3">
      <c r="A356" s="257">
        <v>52</v>
      </c>
      <c r="B356" s="14" t="s">
        <v>12</v>
      </c>
      <c r="C356" s="15" t="s">
        <v>491</v>
      </c>
      <c r="D356" s="16" t="s">
        <v>364</v>
      </c>
      <c r="E356" s="17">
        <f>E358+E362</f>
        <v>4</v>
      </c>
      <c r="F356" s="18" t="s">
        <v>69</v>
      </c>
      <c r="G356" s="19"/>
      <c r="H356" s="20">
        <f t="shared" si="13"/>
        <v>0</v>
      </c>
      <c r="J356" s="144"/>
      <c r="K356" s="145">
        <f t="shared" si="15"/>
        <v>0</v>
      </c>
      <c r="L356" s="144"/>
      <c r="M356" s="149"/>
    </row>
    <row r="357" spans="1:13" s="110" customFormat="1" ht="35.1" customHeight="1" x14ac:dyDescent="0.3">
      <c r="A357" s="21"/>
      <c r="B357" s="104"/>
      <c r="C357" s="105"/>
      <c r="D357" s="106"/>
      <c r="E357" s="107"/>
      <c r="F357" s="108"/>
      <c r="G357" s="109"/>
      <c r="H357" s="20"/>
      <c r="J357" s="144"/>
      <c r="K357" s="145"/>
      <c r="L357" s="144"/>
      <c r="M357" s="149"/>
    </row>
    <row r="358" spans="1:13" s="110" customFormat="1" ht="35.1" customHeight="1" x14ac:dyDescent="0.3">
      <c r="A358" s="36">
        <v>53</v>
      </c>
      <c r="B358" s="37" t="s">
        <v>47</v>
      </c>
      <c r="C358" s="175" t="s">
        <v>567</v>
      </c>
      <c r="D358" s="39" t="s">
        <v>616</v>
      </c>
      <c r="E358" s="40">
        <f>+E362</f>
        <v>2</v>
      </c>
      <c r="F358" s="41" t="s">
        <v>69</v>
      </c>
      <c r="G358" s="42"/>
      <c r="H358" s="43">
        <f t="shared" si="13"/>
        <v>0</v>
      </c>
      <c r="J358" s="144">
        <v>4.0000000000000001E-3</v>
      </c>
      <c r="K358" s="145">
        <f t="shared" si="15"/>
        <v>8.0000000000000002E-3</v>
      </c>
      <c r="L358" s="144"/>
      <c r="M358" s="149"/>
    </row>
    <row r="359" spans="1:13" s="110" customFormat="1" ht="35.1" customHeight="1" x14ac:dyDescent="0.3">
      <c r="A359" s="21"/>
      <c r="B359" s="22"/>
      <c r="C359" s="23" t="s">
        <v>0</v>
      </c>
      <c r="D359" s="24" t="s">
        <v>528</v>
      </c>
      <c r="E359" s="25">
        <v>1</v>
      </c>
      <c r="F359" s="26" t="s">
        <v>69</v>
      </c>
      <c r="G359" s="27"/>
      <c r="H359" s="20"/>
      <c r="J359" s="144"/>
      <c r="K359" s="145"/>
      <c r="L359" s="144"/>
      <c r="M359" s="149"/>
    </row>
    <row r="360" spans="1:13" s="110" customFormat="1" ht="35.1" customHeight="1" x14ac:dyDescent="0.3">
      <c r="A360" s="21"/>
      <c r="B360" s="22"/>
      <c r="C360" s="23"/>
      <c r="D360" s="24" t="s">
        <v>529</v>
      </c>
      <c r="E360" s="25">
        <v>1</v>
      </c>
      <c r="F360" s="26" t="s">
        <v>69</v>
      </c>
      <c r="G360" s="27"/>
      <c r="H360" s="20"/>
      <c r="J360" s="144"/>
      <c r="K360" s="145"/>
      <c r="L360" s="144"/>
      <c r="M360" s="149"/>
    </row>
    <row r="361" spans="1:13" s="110" customFormat="1" ht="35.1" customHeight="1" x14ac:dyDescent="0.3">
      <c r="A361" s="21"/>
      <c r="B361" s="22"/>
      <c r="C361" s="23"/>
      <c r="D361" s="24"/>
      <c r="E361" s="25"/>
      <c r="F361" s="26"/>
      <c r="G361" s="27"/>
      <c r="H361" s="20"/>
      <c r="J361" s="144"/>
      <c r="K361" s="145"/>
      <c r="L361" s="144"/>
      <c r="M361" s="149"/>
    </row>
    <row r="362" spans="1:13" s="110" customFormat="1" ht="35.1" customHeight="1" x14ac:dyDescent="0.3">
      <c r="A362" s="36">
        <v>54</v>
      </c>
      <c r="B362" s="37" t="s">
        <v>47</v>
      </c>
      <c r="C362" s="175" t="s">
        <v>568</v>
      </c>
      <c r="D362" s="39" t="s">
        <v>617</v>
      </c>
      <c r="E362" s="40">
        <f>E363</f>
        <v>2</v>
      </c>
      <c r="F362" s="41" t="s">
        <v>69</v>
      </c>
      <c r="G362" s="42"/>
      <c r="H362" s="43">
        <f t="shared" si="13"/>
        <v>0</v>
      </c>
      <c r="J362" s="144">
        <v>4.0000000000000001E-3</v>
      </c>
      <c r="K362" s="145">
        <f t="shared" si="15"/>
        <v>8.0000000000000002E-3</v>
      </c>
      <c r="L362" s="144"/>
      <c r="M362" s="149"/>
    </row>
    <row r="363" spans="1:13" s="110" customFormat="1" ht="35.1" customHeight="1" x14ac:dyDescent="0.3">
      <c r="A363" s="21"/>
      <c r="B363" s="22"/>
      <c r="C363" s="23" t="s">
        <v>0</v>
      </c>
      <c r="D363" s="24" t="s">
        <v>365</v>
      </c>
      <c r="E363" s="25">
        <v>2</v>
      </c>
      <c r="F363" s="26" t="s">
        <v>69</v>
      </c>
      <c r="G363" s="27"/>
      <c r="H363" s="20"/>
      <c r="J363" s="144"/>
      <c r="K363" s="145"/>
      <c r="L363" s="144"/>
      <c r="M363" s="149"/>
    </row>
    <row r="364" spans="1:13" s="110" customFormat="1" ht="35.1" customHeight="1" x14ac:dyDescent="0.3">
      <c r="A364" s="21"/>
      <c r="B364" s="104"/>
      <c r="C364" s="105"/>
      <c r="D364" s="106"/>
      <c r="E364" s="107"/>
      <c r="F364" s="108"/>
      <c r="G364" s="109"/>
      <c r="H364" s="20"/>
      <c r="J364" s="144"/>
      <c r="K364" s="145"/>
      <c r="L364" s="144"/>
      <c r="M364" s="149"/>
    </row>
    <row r="365" spans="1:13" s="110" customFormat="1" ht="35.1" customHeight="1" x14ac:dyDescent="0.3">
      <c r="A365" s="21">
        <v>55</v>
      </c>
      <c r="B365" s="14" t="s">
        <v>12</v>
      </c>
      <c r="C365" s="15" t="s">
        <v>377</v>
      </c>
      <c r="D365" s="16" t="s">
        <v>359</v>
      </c>
      <c r="E365" s="17">
        <f>E367+E370</f>
        <v>5</v>
      </c>
      <c r="F365" s="18" t="s">
        <v>69</v>
      </c>
      <c r="G365" s="19"/>
      <c r="H365" s="20">
        <f t="shared" si="13"/>
        <v>0</v>
      </c>
      <c r="J365" s="144"/>
      <c r="K365" s="145">
        <f t="shared" si="15"/>
        <v>0</v>
      </c>
      <c r="L365" s="144"/>
      <c r="M365" s="149"/>
    </row>
    <row r="366" spans="1:13" s="110" customFormat="1" ht="35.1" customHeight="1" x14ac:dyDescent="0.3">
      <c r="A366" s="103"/>
      <c r="B366" s="104"/>
      <c r="C366" s="105"/>
      <c r="D366" s="106"/>
      <c r="E366" s="107"/>
      <c r="F366" s="108"/>
      <c r="G366" s="109"/>
      <c r="H366" s="20"/>
      <c r="J366" s="144"/>
      <c r="K366" s="145"/>
      <c r="L366" s="144"/>
      <c r="M366" s="149"/>
    </row>
    <row r="367" spans="1:13" s="110" customFormat="1" ht="35.1" customHeight="1" x14ac:dyDescent="0.3">
      <c r="A367" s="36">
        <v>56</v>
      </c>
      <c r="B367" s="37" t="s">
        <v>47</v>
      </c>
      <c r="C367" s="38" t="s">
        <v>569</v>
      </c>
      <c r="D367" s="39" t="s">
        <v>618</v>
      </c>
      <c r="E367" s="40">
        <f>E368</f>
        <v>1</v>
      </c>
      <c r="F367" s="41" t="s">
        <v>69</v>
      </c>
      <c r="G367" s="42"/>
      <c r="H367" s="43">
        <f t="shared" si="13"/>
        <v>0</v>
      </c>
      <c r="J367" s="144">
        <v>4.0000000000000001E-3</v>
      </c>
      <c r="K367" s="145">
        <f t="shared" si="15"/>
        <v>4.0000000000000001E-3</v>
      </c>
      <c r="L367" s="144"/>
      <c r="M367" s="149"/>
    </row>
    <row r="368" spans="1:13" s="110" customFormat="1" ht="35.1" customHeight="1" x14ac:dyDescent="0.3">
      <c r="A368" s="21"/>
      <c r="B368" s="22"/>
      <c r="C368" s="23"/>
      <c r="D368" s="24" t="s">
        <v>366</v>
      </c>
      <c r="E368" s="25">
        <v>1</v>
      </c>
      <c r="F368" s="26" t="s">
        <v>69</v>
      </c>
      <c r="G368" s="27"/>
      <c r="H368" s="20"/>
      <c r="J368" s="144"/>
      <c r="K368" s="145"/>
      <c r="L368" s="144"/>
      <c r="M368" s="149"/>
    </row>
    <row r="369" spans="1:13" s="110" customFormat="1" ht="35.1" customHeight="1" x14ac:dyDescent="0.3">
      <c r="A369" s="21"/>
      <c r="B369" s="22"/>
      <c r="C369" s="23"/>
      <c r="D369" s="24"/>
      <c r="E369" s="25"/>
      <c r="F369" s="26"/>
      <c r="G369" s="27"/>
      <c r="H369" s="20"/>
      <c r="J369" s="144"/>
      <c r="K369" s="145"/>
      <c r="L369" s="144"/>
      <c r="M369" s="149"/>
    </row>
    <row r="370" spans="1:13" s="110" customFormat="1" ht="35.1" customHeight="1" x14ac:dyDescent="0.3">
      <c r="A370" s="36">
        <v>57</v>
      </c>
      <c r="B370" s="37" t="s">
        <v>47</v>
      </c>
      <c r="C370" s="38" t="s">
        <v>215</v>
      </c>
      <c r="D370" s="39" t="s">
        <v>184</v>
      </c>
      <c r="E370" s="40">
        <f>E371</f>
        <v>4</v>
      </c>
      <c r="F370" s="41" t="s">
        <v>69</v>
      </c>
      <c r="G370" s="42"/>
      <c r="H370" s="43">
        <f t="shared" ref="H370:H433" si="16">E370*G370</f>
        <v>0</v>
      </c>
      <c r="J370" s="144"/>
      <c r="K370" s="145">
        <f t="shared" si="15"/>
        <v>0</v>
      </c>
      <c r="L370" s="144"/>
      <c r="M370" s="149"/>
    </row>
    <row r="371" spans="1:13" s="110" customFormat="1" ht="35.1" customHeight="1" x14ac:dyDescent="0.3">
      <c r="A371" s="103"/>
      <c r="B371" s="22"/>
      <c r="C371" s="23"/>
      <c r="D371" s="24" t="s">
        <v>407</v>
      </c>
      <c r="E371" s="25">
        <v>4</v>
      </c>
      <c r="F371" s="26" t="s">
        <v>69</v>
      </c>
      <c r="G371" s="27"/>
      <c r="H371" s="20"/>
      <c r="J371" s="144"/>
      <c r="K371" s="145"/>
      <c r="L371" s="144"/>
      <c r="M371" s="149"/>
    </row>
    <row r="372" spans="1:13" s="110" customFormat="1" ht="35.1" customHeight="1" x14ac:dyDescent="0.3">
      <c r="A372" s="103"/>
      <c r="B372" s="22"/>
      <c r="C372" s="23"/>
      <c r="D372" s="24"/>
      <c r="E372" s="25"/>
      <c r="F372" s="26"/>
      <c r="G372" s="27"/>
      <c r="H372" s="20"/>
      <c r="J372" s="144"/>
      <c r="K372" s="145"/>
      <c r="L372" s="144"/>
      <c r="M372" s="149"/>
    </row>
    <row r="373" spans="1:13" s="4" customFormat="1" ht="35.1" customHeight="1" x14ac:dyDescent="0.3">
      <c r="A373" s="13">
        <v>58</v>
      </c>
      <c r="B373" s="14" t="s">
        <v>12</v>
      </c>
      <c r="C373" s="15" t="s">
        <v>263</v>
      </c>
      <c r="D373" s="16" t="s">
        <v>264</v>
      </c>
      <c r="E373" s="17">
        <f>E375+E378</f>
        <v>2</v>
      </c>
      <c r="F373" s="18" t="s">
        <v>69</v>
      </c>
      <c r="G373" s="19"/>
      <c r="H373" s="20">
        <f t="shared" si="16"/>
        <v>0</v>
      </c>
      <c r="J373" s="139">
        <v>1.7099999999999999E-3</v>
      </c>
      <c r="K373" s="145">
        <f t="shared" si="15"/>
        <v>3.4199999999999999E-3</v>
      </c>
      <c r="L373" s="139">
        <v>0</v>
      </c>
      <c r="M373" s="146" t="e">
        <f>L373*#REF!</f>
        <v>#REF!</v>
      </c>
    </row>
    <row r="374" spans="1:13" s="29" customFormat="1" ht="35.1" customHeight="1" x14ac:dyDescent="0.3">
      <c r="A374" s="21"/>
      <c r="B374" s="22"/>
      <c r="C374" s="23"/>
      <c r="D374" s="24"/>
      <c r="E374" s="25"/>
      <c r="F374" s="26"/>
      <c r="G374" s="27"/>
      <c r="H374" s="20"/>
      <c r="J374" s="140"/>
      <c r="K374" s="145"/>
      <c r="L374" s="140"/>
      <c r="M374" s="146"/>
    </row>
    <row r="375" spans="1:13" s="126" customFormat="1" ht="35.1" customHeight="1" x14ac:dyDescent="0.3">
      <c r="A375" s="36">
        <v>59</v>
      </c>
      <c r="B375" s="37" t="s">
        <v>47</v>
      </c>
      <c r="C375" s="175" t="s">
        <v>575</v>
      </c>
      <c r="D375" s="176" t="s">
        <v>530</v>
      </c>
      <c r="E375" s="40">
        <f>E376</f>
        <v>1</v>
      </c>
      <c r="F375" s="41" t="s">
        <v>69</v>
      </c>
      <c r="G375" s="42"/>
      <c r="H375" s="43">
        <f t="shared" si="16"/>
        <v>0</v>
      </c>
      <c r="J375" s="148">
        <v>1.8100000000000002E-2</v>
      </c>
      <c r="K375" s="145">
        <f t="shared" si="15"/>
        <v>1.8100000000000002E-2</v>
      </c>
      <c r="L375" s="148">
        <v>0</v>
      </c>
      <c r="M375" s="166" t="e">
        <f>L375*#REF!</f>
        <v>#REF!</v>
      </c>
    </row>
    <row r="376" spans="1:13" s="29" customFormat="1" ht="35.1" customHeight="1" x14ac:dyDescent="0.3">
      <c r="A376" s="21"/>
      <c r="B376" s="22"/>
      <c r="C376" s="23"/>
      <c r="D376" s="24" t="s">
        <v>531</v>
      </c>
      <c r="E376" s="25">
        <v>1</v>
      </c>
      <c r="F376" s="26" t="s">
        <v>69</v>
      </c>
      <c r="G376" s="27"/>
      <c r="H376" s="20"/>
      <c r="J376" s="140"/>
      <c r="K376" s="145"/>
      <c r="L376" s="140"/>
      <c r="M376" s="146"/>
    </row>
    <row r="377" spans="1:13" s="29" customFormat="1" ht="35.1" customHeight="1" x14ac:dyDescent="0.3">
      <c r="A377" s="21"/>
      <c r="B377" s="22"/>
      <c r="C377" s="23"/>
      <c r="D377" s="24"/>
      <c r="E377" s="25"/>
      <c r="F377" s="26"/>
      <c r="G377" s="27"/>
      <c r="H377" s="20"/>
      <c r="J377" s="140"/>
      <c r="K377" s="145"/>
      <c r="L377" s="140"/>
      <c r="M377" s="146"/>
    </row>
    <row r="378" spans="1:13" s="126" customFormat="1" ht="35.1" customHeight="1" x14ac:dyDescent="0.3">
      <c r="A378" s="36">
        <v>60</v>
      </c>
      <c r="B378" s="37" t="s">
        <v>47</v>
      </c>
      <c r="C378" s="38" t="s">
        <v>492</v>
      </c>
      <c r="D378" s="39" t="s">
        <v>465</v>
      </c>
      <c r="E378" s="40">
        <f>E379</f>
        <v>1</v>
      </c>
      <c r="F378" s="41" t="s">
        <v>69</v>
      </c>
      <c r="G378" s="42"/>
      <c r="H378" s="43">
        <f t="shared" si="16"/>
        <v>0</v>
      </c>
      <c r="J378" s="148">
        <v>1.8100000000000002E-2</v>
      </c>
      <c r="K378" s="145">
        <f t="shared" si="15"/>
        <v>1.8100000000000002E-2</v>
      </c>
      <c r="L378" s="148">
        <v>0</v>
      </c>
      <c r="M378" s="166" t="e">
        <f>L378*#REF!</f>
        <v>#REF!</v>
      </c>
    </row>
    <row r="379" spans="1:13" s="29" customFormat="1" ht="35.1" customHeight="1" x14ac:dyDescent="0.3">
      <c r="A379" s="21"/>
      <c r="B379" s="22"/>
      <c r="C379" s="23"/>
      <c r="D379" s="24" t="s">
        <v>570</v>
      </c>
      <c r="E379" s="25">
        <v>1</v>
      </c>
      <c r="F379" s="26" t="s">
        <v>69</v>
      </c>
      <c r="G379" s="27"/>
      <c r="H379" s="20"/>
      <c r="J379" s="140"/>
      <c r="K379" s="145"/>
      <c r="L379" s="140"/>
      <c r="M379" s="146"/>
    </row>
    <row r="380" spans="1:13" s="4" customFormat="1" ht="35.1" customHeight="1" x14ac:dyDescent="0.3">
      <c r="A380" s="36"/>
      <c r="B380" s="37"/>
      <c r="C380" s="38"/>
      <c r="D380" s="39"/>
      <c r="E380" s="40"/>
      <c r="F380" s="41"/>
      <c r="G380" s="42"/>
      <c r="H380" s="20"/>
      <c r="J380" s="139"/>
      <c r="K380" s="145"/>
      <c r="L380" s="139"/>
      <c r="M380" s="146"/>
    </row>
    <row r="381" spans="1:13" s="4" customFormat="1" ht="35.1" customHeight="1" x14ac:dyDescent="0.3">
      <c r="A381" s="13">
        <v>61</v>
      </c>
      <c r="B381" s="14" t="s">
        <v>12</v>
      </c>
      <c r="C381" s="15" t="s">
        <v>265</v>
      </c>
      <c r="D381" s="16" t="s">
        <v>266</v>
      </c>
      <c r="E381" s="17">
        <v>2</v>
      </c>
      <c r="F381" s="18" t="s">
        <v>69</v>
      </c>
      <c r="G381" s="19"/>
      <c r="H381" s="20">
        <f t="shared" si="16"/>
        <v>0</v>
      </c>
      <c r="J381" s="139">
        <v>1.65E-3</v>
      </c>
      <c r="K381" s="145">
        <f t="shared" si="15"/>
        <v>3.3E-3</v>
      </c>
      <c r="L381" s="139">
        <v>0</v>
      </c>
      <c r="M381" s="146" t="e">
        <f>L381*#REF!</f>
        <v>#REF!</v>
      </c>
    </row>
    <row r="382" spans="1:13" s="29" customFormat="1" ht="35.1" customHeight="1" x14ac:dyDescent="0.3">
      <c r="A382" s="21"/>
      <c r="B382" s="22"/>
      <c r="C382" s="23"/>
      <c r="D382" s="24"/>
      <c r="E382" s="25"/>
      <c r="F382" s="26"/>
      <c r="G382" s="27"/>
      <c r="H382" s="20"/>
      <c r="J382" s="140"/>
      <c r="K382" s="145"/>
      <c r="L382" s="140"/>
      <c r="M382" s="149"/>
    </row>
    <row r="383" spans="1:13" s="126" customFormat="1" ht="35.1" customHeight="1" x14ac:dyDescent="0.3">
      <c r="A383" s="36">
        <v>62</v>
      </c>
      <c r="B383" s="37" t="s">
        <v>47</v>
      </c>
      <c r="C383" s="38" t="s">
        <v>494</v>
      </c>
      <c r="D383" s="39" t="s">
        <v>466</v>
      </c>
      <c r="E383" s="40">
        <v>2</v>
      </c>
      <c r="F383" s="41" t="s">
        <v>69</v>
      </c>
      <c r="G383" s="42"/>
      <c r="H383" s="43">
        <f t="shared" si="16"/>
        <v>0</v>
      </c>
      <c r="J383" s="148">
        <v>3.4000000000000002E-2</v>
      </c>
      <c r="K383" s="207">
        <f t="shared" si="15"/>
        <v>6.8000000000000005E-2</v>
      </c>
      <c r="L383" s="148">
        <v>0</v>
      </c>
      <c r="M383" s="166" t="e">
        <f>L383*#REF!</f>
        <v>#REF!</v>
      </c>
    </row>
    <row r="384" spans="1:13" s="29" customFormat="1" ht="35.1" customHeight="1" x14ac:dyDescent="0.3">
      <c r="A384" s="21"/>
      <c r="B384" s="22"/>
      <c r="C384" s="23"/>
      <c r="D384" s="24"/>
      <c r="E384" s="25"/>
      <c r="F384" s="26"/>
      <c r="G384" s="27"/>
      <c r="H384" s="20"/>
      <c r="J384" s="140"/>
      <c r="K384" s="207"/>
      <c r="L384" s="140"/>
      <c r="M384" s="164"/>
    </row>
    <row r="385" spans="1:13" s="4" customFormat="1" ht="35.1" customHeight="1" x14ac:dyDescent="0.3">
      <c r="A385" s="13">
        <v>63</v>
      </c>
      <c r="B385" s="14" t="s">
        <v>12</v>
      </c>
      <c r="C385" s="15" t="s">
        <v>495</v>
      </c>
      <c r="D385" s="16" t="s">
        <v>367</v>
      </c>
      <c r="E385" s="17">
        <f>E387+E389</f>
        <v>2</v>
      </c>
      <c r="F385" s="18" t="s">
        <v>69</v>
      </c>
      <c r="G385" s="19"/>
      <c r="H385" s="20">
        <f t="shared" si="16"/>
        <v>0</v>
      </c>
      <c r="J385" s="139">
        <v>1.65E-3</v>
      </c>
      <c r="K385" s="207">
        <f t="shared" si="15"/>
        <v>3.3E-3</v>
      </c>
      <c r="L385" s="139">
        <v>0</v>
      </c>
      <c r="M385" s="164" t="e">
        <f>L385*#REF!</f>
        <v>#REF!</v>
      </c>
    </row>
    <row r="386" spans="1:13" s="29" customFormat="1" ht="35.1" customHeight="1" x14ac:dyDescent="0.3">
      <c r="A386" s="21"/>
      <c r="B386" s="22"/>
      <c r="C386" s="23"/>
      <c r="D386" s="24"/>
      <c r="E386" s="25"/>
      <c r="F386" s="26"/>
      <c r="G386" s="27"/>
      <c r="H386" s="20"/>
      <c r="J386" s="140"/>
      <c r="K386" s="207"/>
      <c r="L386" s="140"/>
      <c r="M386" s="165"/>
    </row>
    <row r="387" spans="1:13" s="126" customFormat="1" ht="35.1" customHeight="1" x14ac:dyDescent="0.3">
      <c r="A387" s="36">
        <v>64</v>
      </c>
      <c r="B387" s="37" t="s">
        <v>47</v>
      </c>
      <c r="C387" s="38" t="s">
        <v>199</v>
      </c>
      <c r="D387" s="39" t="s">
        <v>368</v>
      </c>
      <c r="E387" s="40">
        <v>1</v>
      </c>
      <c r="F387" s="41" t="s">
        <v>69</v>
      </c>
      <c r="G387" s="42"/>
      <c r="H387" s="43">
        <f t="shared" si="16"/>
        <v>0</v>
      </c>
      <c r="J387" s="148">
        <v>1.8499999999999999E-2</v>
      </c>
      <c r="K387" s="207">
        <f t="shared" si="15"/>
        <v>1.8499999999999999E-2</v>
      </c>
      <c r="L387" s="148">
        <v>0</v>
      </c>
      <c r="M387" s="166" t="e">
        <f>L387*#REF!</f>
        <v>#REF!</v>
      </c>
    </row>
    <row r="388" spans="1:13" s="110" customFormat="1" ht="35.1" customHeight="1" x14ac:dyDescent="0.3">
      <c r="A388" s="103"/>
      <c r="B388" s="104"/>
      <c r="C388" s="105"/>
      <c r="D388" s="106"/>
      <c r="E388" s="107"/>
      <c r="F388" s="108"/>
      <c r="G388" s="109"/>
      <c r="H388" s="20"/>
      <c r="J388" s="144"/>
      <c r="K388" s="145"/>
      <c r="L388" s="144"/>
      <c r="M388" s="149"/>
    </row>
    <row r="389" spans="1:13" s="126" customFormat="1" ht="35.1" customHeight="1" x14ac:dyDescent="0.3">
      <c r="A389" s="36">
        <v>65</v>
      </c>
      <c r="B389" s="37" t="s">
        <v>47</v>
      </c>
      <c r="C389" s="38" t="s">
        <v>493</v>
      </c>
      <c r="D389" s="39" t="s">
        <v>371</v>
      </c>
      <c r="E389" s="40">
        <v>1</v>
      </c>
      <c r="F389" s="41" t="s">
        <v>69</v>
      </c>
      <c r="G389" s="42"/>
      <c r="H389" s="43">
        <f t="shared" si="16"/>
        <v>0</v>
      </c>
      <c r="J389" s="148">
        <v>1.4500000000000001E-2</v>
      </c>
      <c r="K389" s="207">
        <f t="shared" si="15"/>
        <v>1.4500000000000001E-2</v>
      </c>
      <c r="L389" s="148">
        <v>0</v>
      </c>
      <c r="M389" s="166" t="e">
        <f>L389*#REF!</f>
        <v>#REF!</v>
      </c>
    </row>
    <row r="390" spans="1:13" s="29" customFormat="1" ht="35.1" customHeight="1" x14ac:dyDescent="0.3">
      <c r="A390" s="21"/>
      <c r="B390" s="22"/>
      <c r="C390" s="23"/>
      <c r="D390" s="24" t="s">
        <v>372</v>
      </c>
      <c r="E390" s="25"/>
      <c r="F390" s="26"/>
      <c r="G390" s="27"/>
      <c r="H390" s="20"/>
      <c r="J390" s="140"/>
      <c r="K390" s="145"/>
      <c r="L390" s="140"/>
      <c r="M390" s="146"/>
    </row>
    <row r="391" spans="1:13" s="29" customFormat="1" ht="35.1" customHeight="1" x14ac:dyDescent="0.3">
      <c r="A391" s="21"/>
      <c r="B391" s="22"/>
      <c r="C391" s="23"/>
      <c r="D391" s="24"/>
      <c r="E391" s="25"/>
      <c r="F391" s="26"/>
      <c r="G391" s="27"/>
      <c r="H391" s="20"/>
      <c r="J391" s="140"/>
      <c r="K391" s="145"/>
      <c r="L391" s="140"/>
      <c r="M391" s="146"/>
    </row>
    <row r="392" spans="1:13" s="4" customFormat="1" ht="35.1" customHeight="1" x14ac:dyDescent="0.3">
      <c r="A392" s="13">
        <v>66</v>
      </c>
      <c r="B392" s="14" t="s">
        <v>12</v>
      </c>
      <c r="C392" s="15" t="s">
        <v>267</v>
      </c>
      <c r="D392" s="16" t="s">
        <v>84</v>
      </c>
      <c r="E392" s="17">
        <v>4</v>
      </c>
      <c r="F392" s="18" t="s">
        <v>69</v>
      </c>
      <c r="G392" s="19"/>
      <c r="H392" s="20">
        <f t="shared" si="16"/>
        <v>0</v>
      </c>
      <c r="J392" s="139">
        <v>7.2000000000000005E-4</v>
      </c>
      <c r="K392" s="145">
        <f t="shared" si="15"/>
        <v>2.8800000000000002E-3</v>
      </c>
      <c r="L392" s="139">
        <v>0</v>
      </c>
      <c r="M392" s="164" t="e">
        <f>L392*#REF!</f>
        <v>#REF!</v>
      </c>
    </row>
    <row r="393" spans="1:13" s="4" customFormat="1" ht="35.1" customHeight="1" x14ac:dyDescent="0.3">
      <c r="A393" s="13"/>
      <c r="B393" s="14"/>
      <c r="C393" s="15"/>
      <c r="D393" s="16"/>
      <c r="E393" s="17"/>
      <c r="F393" s="18"/>
      <c r="G393" s="19"/>
      <c r="H393" s="20"/>
      <c r="J393" s="139"/>
      <c r="K393" s="145"/>
      <c r="L393" s="139"/>
      <c r="M393" s="164"/>
    </row>
    <row r="394" spans="1:13" s="4" customFormat="1" ht="35.1" customHeight="1" x14ac:dyDescent="0.3">
      <c r="A394" s="36">
        <v>67</v>
      </c>
      <c r="B394" s="37" t="s">
        <v>47</v>
      </c>
      <c r="C394" s="38" t="s">
        <v>200</v>
      </c>
      <c r="D394" s="39" t="s">
        <v>180</v>
      </c>
      <c r="E394" s="40">
        <v>4</v>
      </c>
      <c r="F394" s="41" t="s">
        <v>69</v>
      </c>
      <c r="G394" s="42"/>
      <c r="H394" s="43">
        <f t="shared" si="16"/>
        <v>0</v>
      </c>
      <c r="J394" s="139">
        <v>4.0000000000000001E-3</v>
      </c>
      <c r="K394" s="145">
        <f t="shared" si="15"/>
        <v>1.6E-2</v>
      </c>
      <c r="L394" s="139">
        <v>0</v>
      </c>
      <c r="M394" s="164" t="e">
        <f>L394*#REF!</f>
        <v>#REF!</v>
      </c>
    </row>
    <row r="395" spans="1:13" s="4" customFormat="1" ht="35.1" customHeight="1" x14ac:dyDescent="0.3">
      <c r="A395" s="36"/>
      <c r="B395" s="37"/>
      <c r="C395" s="38"/>
      <c r="D395" s="111"/>
      <c r="E395" s="112"/>
      <c r="F395" s="113"/>
      <c r="G395" s="114"/>
      <c r="H395" s="43"/>
      <c r="J395" s="139"/>
      <c r="K395" s="145"/>
      <c r="L395" s="139"/>
      <c r="M395" s="146"/>
    </row>
    <row r="396" spans="1:13" s="4" customFormat="1" ht="35.1" customHeight="1" x14ac:dyDescent="0.3">
      <c r="A396" s="36">
        <v>68</v>
      </c>
      <c r="B396" s="37" t="s">
        <v>47</v>
      </c>
      <c r="C396" s="38" t="s">
        <v>216</v>
      </c>
      <c r="D396" s="39" t="s">
        <v>181</v>
      </c>
      <c r="E396" s="40">
        <v>4</v>
      </c>
      <c r="F396" s="41" t="s">
        <v>69</v>
      </c>
      <c r="G396" s="42"/>
      <c r="H396" s="43">
        <f t="shared" si="16"/>
        <v>0</v>
      </c>
      <c r="J396" s="139">
        <v>4.0000000000000001E-3</v>
      </c>
      <c r="K396" s="145">
        <f t="shared" si="15"/>
        <v>1.6E-2</v>
      </c>
      <c r="L396" s="139">
        <v>0</v>
      </c>
      <c r="M396" s="164" t="e">
        <f>L396*#REF!</f>
        <v>#REF!</v>
      </c>
    </row>
    <row r="397" spans="1:13" s="4" customFormat="1" ht="35.1" customHeight="1" x14ac:dyDescent="0.2">
      <c r="A397" s="36"/>
      <c r="B397" s="37"/>
      <c r="C397" s="38"/>
      <c r="D397" s="115"/>
      <c r="E397" s="40"/>
      <c r="F397" s="41"/>
      <c r="G397" s="42"/>
      <c r="H397" s="20"/>
      <c r="J397" s="139"/>
      <c r="K397" s="145"/>
      <c r="L397" s="139"/>
      <c r="M397" s="164"/>
    </row>
    <row r="398" spans="1:13" s="4" customFormat="1" ht="35.1" customHeight="1" x14ac:dyDescent="0.3">
      <c r="A398" s="13">
        <v>69</v>
      </c>
      <c r="B398" s="14" t="s">
        <v>12</v>
      </c>
      <c r="C398" s="15" t="s">
        <v>271</v>
      </c>
      <c r="D398" s="16" t="s">
        <v>303</v>
      </c>
      <c r="E398" s="17">
        <f>E400</f>
        <v>4</v>
      </c>
      <c r="F398" s="18" t="s">
        <v>69</v>
      </c>
      <c r="G398" s="19"/>
      <c r="H398" s="20">
        <f t="shared" si="16"/>
        <v>0</v>
      </c>
      <c r="J398" s="139">
        <v>0</v>
      </c>
      <c r="K398" s="145">
        <f t="shared" ref="K398:K466" si="17">E398*J398</f>
        <v>0</v>
      </c>
      <c r="L398" s="139">
        <v>0</v>
      </c>
      <c r="M398" s="146" t="e">
        <f>L398*#REF!</f>
        <v>#REF!</v>
      </c>
    </row>
    <row r="399" spans="1:13" s="29" customFormat="1" ht="35.1" customHeight="1" x14ac:dyDescent="0.3">
      <c r="A399" s="21"/>
      <c r="B399" s="22"/>
      <c r="C399" s="23"/>
      <c r="D399" s="24"/>
      <c r="E399" s="25"/>
      <c r="F399" s="26"/>
      <c r="G399" s="27"/>
      <c r="H399" s="20"/>
      <c r="J399" s="140"/>
      <c r="K399" s="145"/>
      <c r="L399" s="140"/>
      <c r="M399" s="146"/>
    </row>
    <row r="400" spans="1:13" s="4" customFormat="1" ht="35.1" customHeight="1" x14ac:dyDescent="0.3">
      <c r="A400" s="36">
        <v>70</v>
      </c>
      <c r="B400" s="37" t="s">
        <v>47</v>
      </c>
      <c r="C400" s="175" t="s">
        <v>305</v>
      </c>
      <c r="D400" s="39" t="s">
        <v>304</v>
      </c>
      <c r="E400" s="40">
        <v>4</v>
      </c>
      <c r="F400" s="41" t="s">
        <v>69</v>
      </c>
      <c r="G400" s="42"/>
      <c r="H400" s="43">
        <f t="shared" si="16"/>
        <v>0</v>
      </c>
      <c r="J400" s="139">
        <f>6.2/1000</f>
        <v>6.1999999999999998E-3</v>
      </c>
      <c r="K400" s="207">
        <f t="shared" si="17"/>
        <v>2.4799999999999999E-2</v>
      </c>
      <c r="L400" s="139">
        <v>0</v>
      </c>
      <c r="M400" s="164" t="e">
        <f>L400*#REF!</f>
        <v>#REF!</v>
      </c>
    </row>
    <row r="401" spans="1:13" s="29" customFormat="1" ht="35.1" customHeight="1" x14ac:dyDescent="0.3">
      <c r="A401" s="21"/>
      <c r="B401" s="22"/>
      <c r="C401" s="23"/>
      <c r="D401" s="24"/>
      <c r="E401" s="25"/>
      <c r="F401" s="26"/>
      <c r="G401" s="27"/>
      <c r="H401" s="20"/>
      <c r="J401" s="140"/>
      <c r="K401" s="145"/>
      <c r="L401" s="140"/>
      <c r="M401" s="146"/>
    </row>
    <row r="402" spans="1:13" s="4" customFormat="1" ht="35.1" customHeight="1" x14ac:dyDescent="0.3">
      <c r="A402" s="13">
        <v>71</v>
      </c>
      <c r="B402" s="14" t="s">
        <v>12</v>
      </c>
      <c r="C402" s="15" t="s">
        <v>85</v>
      </c>
      <c r="D402" s="16" t="s">
        <v>86</v>
      </c>
      <c r="E402" s="17">
        <f>E404+E406+E408+E411</f>
        <v>8</v>
      </c>
      <c r="F402" s="18" t="s">
        <v>69</v>
      </c>
      <c r="G402" s="19"/>
      <c r="H402" s="20">
        <f t="shared" si="16"/>
        <v>0</v>
      </c>
      <c r="J402" s="139">
        <v>0</v>
      </c>
      <c r="K402" s="145">
        <f t="shared" si="17"/>
        <v>0</v>
      </c>
      <c r="L402" s="139">
        <v>0</v>
      </c>
      <c r="M402" s="146" t="e">
        <f>L402*#REF!</f>
        <v>#REF!</v>
      </c>
    </row>
    <row r="403" spans="1:13" s="29" customFormat="1" ht="35.1" customHeight="1" x14ac:dyDescent="0.3">
      <c r="A403" s="21"/>
      <c r="B403" s="22"/>
      <c r="C403" s="23"/>
      <c r="D403" s="24"/>
      <c r="E403" s="25"/>
      <c r="F403" s="26"/>
      <c r="G403" s="27"/>
      <c r="H403" s="20"/>
      <c r="J403" s="140"/>
      <c r="K403" s="145"/>
      <c r="L403" s="140"/>
      <c r="M403" s="149"/>
    </row>
    <row r="404" spans="1:13" s="29" customFormat="1" ht="35.1" customHeight="1" x14ac:dyDescent="0.3">
      <c r="A404" s="36">
        <v>72</v>
      </c>
      <c r="B404" s="37" t="s">
        <v>47</v>
      </c>
      <c r="C404" s="175" t="s">
        <v>306</v>
      </c>
      <c r="D404" s="39" t="s">
        <v>369</v>
      </c>
      <c r="E404" s="40">
        <v>2</v>
      </c>
      <c r="F404" s="41" t="s">
        <v>69</v>
      </c>
      <c r="G404" s="42"/>
      <c r="H404" s="43">
        <f t="shared" si="16"/>
        <v>0</v>
      </c>
      <c r="J404" s="140">
        <v>7.3000000000000001E-3</v>
      </c>
      <c r="K404" s="207">
        <f t="shared" si="17"/>
        <v>1.46E-2</v>
      </c>
      <c r="L404" s="140">
        <v>0</v>
      </c>
      <c r="M404" s="164" t="e">
        <f>L404*#REF!</f>
        <v>#REF!</v>
      </c>
    </row>
    <row r="405" spans="1:13" s="29" customFormat="1" ht="35.1" customHeight="1" x14ac:dyDescent="0.3">
      <c r="A405" s="36"/>
      <c r="B405" s="22"/>
      <c r="C405" s="38"/>
      <c r="D405" s="24"/>
      <c r="E405" s="25"/>
      <c r="F405" s="26"/>
      <c r="G405" s="27"/>
      <c r="H405" s="43"/>
      <c r="J405" s="140"/>
      <c r="K405" s="207"/>
      <c r="L405" s="140"/>
      <c r="M405" s="164"/>
    </row>
    <row r="406" spans="1:13" s="29" customFormat="1" ht="35.1" customHeight="1" x14ac:dyDescent="0.3">
      <c r="A406" s="36">
        <v>73</v>
      </c>
      <c r="B406" s="37" t="s">
        <v>47</v>
      </c>
      <c r="C406" s="38" t="s">
        <v>496</v>
      </c>
      <c r="D406" s="39" t="s">
        <v>370</v>
      </c>
      <c r="E406" s="40">
        <v>1</v>
      </c>
      <c r="F406" s="41" t="s">
        <v>69</v>
      </c>
      <c r="G406" s="42"/>
      <c r="H406" s="43">
        <f t="shared" si="16"/>
        <v>0</v>
      </c>
      <c r="J406" s="140">
        <v>7.3000000000000001E-3</v>
      </c>
      <c r="K406" s="207">
        <f t="shared" si="17"/>
        <v>7.3000000000000001E-3</v>
      </c>
      <c r="L406" s="140">
        <v>0</v>
      </c>
      <c r="M406" s="164" t="e">
        <f>L406*#REF!</f>
        <v>#REF!</v>
      </c>
    </row>
    <row r="407" spans="1:13" s="29" customFormat="1" ht="35.1" customHeight="1" x14ac:dyDescent="0.3">
      <c r="A407" s="36"/>
      <c r="B407" s="22"/>
      <c r="C407" s="38"/>
      <c r="D407" s="24"/>
      <c r="E407" s="25"/>
      <c r="F407" s="26"/>
      <c r="G407" s="27"/>
      <c r="H407" s="43"/>
      <c r="J407" s="140"/>
      <c r="K407" s="207"/>
      <c r="L407" s="140"/>
      <c r="M407" s="164"/>
    </row>
    <row r="408" spans="1:13" s="29" customFormat="1" ht="35.1" customHeight="1" x14ac:dyDescent="0.3">
      <c r="A408" s="36">
        <v>74</v>
      </c>
      <c r="B408" s="37" t="s">
        <v>47</v>
      </c>
      <c r="C408" s="175" t="s">
        <v>576</v>
      </c>
      <c r="D408" s="176" t="s">
        <v>532</v>
      </c>
      <c r="E408" s="40">
        <v>1</v>
      </c>
      <c r="F408" s="41" t="s">
        <v>69</v>
      </c>
      <c r="G408" s="42"/>
      <c r="H408" s="43">
        <f t="shared" si="16"/>
        <v>0</v>
      </c>
      <c r="J408" s="140">
        <v>7.3000000000000001E-3</v>
      </c>
      <c r="K408" s="207">
        <f t="shared" ref="K408" si="18">E408*J408</f>
        <v>7.3000000000000001E-3</v>
      </c>
      <c r="L408" s="140">
        <v>0</v>
      </c>
      <c r="M408" s="164" t="e">
        <f>L408*#REF!</f>
        <v>#REF!</v>
      </c>
    </row>
    <row r="409" spans="1:13" s="29" customFormat="1" ht="35.1" customHeight="1" x14ac:dyDescent="0.3">
      <c r="A409" s="36"/>
      <c r="B409" s="22"/>
      <c r="C409" s="38"/>
      <c r="D409" s="24" t="s">
        <v>533</v>
      </c>
      <c r="E409" s="25"/>
      <c r="F409" s="26"/>
      <c r="G409" s="27"/>
      <c r="H409" s="43"/>
      <c r="J409" s="140"/>
      <c r="K409" s="207"/>
      <c r="L409" s="140"/>
      <c r="M409" s="164"/>
    </row>
    <row r="410" spans="1:13" s="29" customFormat="1" ht="35.1" customHeight="1" x14ac:dyDescent="0.3">
      <c r="A410" s="36"/>
      <c r="B410" s="22"/>
      <c r="C410" s="38"/>
      <c r="D410" s="24"/>
      <c r="E410" s="25"/>
      <c r="F410" s="26"/>
      <c r="G410" s="27"/>
      <c r="H410" s="43"/>
      <c r="J410" s="140"/>
      <c r="K410" s="207"/>
      <c r="L410" s="140"/>
      <c r="M410" s="164"/>
    </row>
    <row r="411" spans="1:13" s="29" customFormat="1" ht="35.1" customHeight="1" x14ac:dyDescent="0.3">
      <c r="A411" s="36">
        <v>75</v>
      </c>
      <c r="B411" s="37" t="s">
        <v>47</v>
      </c>
      <c r="C411" s="38" t="s">
        <v>201</v>
      </c>
      <c r="D411" s="39" t="s">
        <v>182</v>
      </c>
      <c r="E411" s="40">
        <v>4</v>
      </c>
      <c r="F411" s="41" t="s">
        <v>69</v>
      </c>
      <c r="G411" s="42"/>
      <c r="H411" s="43">
        <f t="shared" si="16"/>
        <v>0</v>
      </c>
      <c r="J411" s="140">
        <v>3.5000000000000001E-3</v>
      </c>
      <c r="K411" s="207">
        <f t="shared" si="17"/>
        <v>1.4E-2</v>
      </c>
      <c r="L411" s="140">
        <v>0</v>
      </c>
      <c r="M411" s="164" t="e">
        <f>L411*#REF!</f>
        <v>#REF!</v>
      </c>
    </row>
    <row r="412" spans="1:13" s="29" customFormat="1" ht="35.1" customHeight="1" x14ac:dyDescent="0.3">
      <c r="A412" s="21"/>
      <c r="B412" s="22"/>
      <c r="C412" s="23"/>
      <c r="D412" s="24"/>
      <c r="E412" s="25"/>
      <c r="F412" s="26"/>
      <c r="G412" s="27"/>
      <c r="H412" s="20">
        <f t="shared" si="16"/>
        <v>0</v>
      </c>
      <c r="J412" s="140"/>
      <c r="K412" s="145"/>
      <c r="L412" s="140"/>
      <c r="M412" s="146"/>
    </row>
    <row r="413" spans="1:13" s="29" customFormat="1" ht="35.1" customHeight="1" x14ac:dyDescent="0.3">
      <c r="A413" s="21">
        <v>76</v>
      </c>
      <c r="B413" s="14" t="s">
        <v>12</v>
      </c>
      <c r="C413" s="15" t="s">
        <v>360</v>
      </c>
      <c r="D413" s="16" t="s">
        <v>361</v>
      </c>
      <c r="E413" s="17">
        <v>1</v>
      </c>
      <c r="F413" s="18" t="s">
        <v>69</v>
      </c>
      <c r="G413" s="19"/>
      <c r="H413" s="20">
        <f t="shared" si="16"/>
        <v>0</v>
      </c>
      <c r="J413" s="140"/>
      <c r="K413" s="145">
        <f t="shared" si="17"/>
        <v>0</v>
      </c>
      <c r="L413" s="140"/>
      <c r="M413" s="146"/>
    </row>
    <row r="414" spans="1:13" s="29" customFormat="1" ht="35.1" customHeight="1" x14ac:dyDescent="0.3">
      <c r="A414" s="21"/>
      <c r="B414" s="22"/>
      <c r="C414" s="23"/>
      <c r="D414" s="24"/>
      <c r="E414" s="25"/>
      <c r="F414" s="26"/>
      <c r="G414" s="27"/>
      <c r="H414" s="20"/>
      <c r="J414" s="140"/>
      <c r="K414" s="145"/>
      <c r="L414" s="140"/>
      <c r="M414" s="146"/>
    </row>
    <row r="415" spans="1:13" s="29" customFormat="1" ht="35.1" customHeight="1" x14ac:dyDescent="0.3">
      <c r="A415" s="36">
        <v>77</v>
      </c>
      <c r="B415" s="37" t="s">
        <v>47</v>
      </c>
      <c r="C415" s="38" t="s">
        <v>497</v>
      </c>
      <c r="D415" s="176" t="s">
        <v>498</v>
      </c>
      <c r="E415" s="40">
        <v>1</v>
      </c>
      <c r="F415" s="41" t="s">
        <v>69</v>
      </c>
      <c r="G415" s="42"/>
      <c r="H415" s="43">
        <f t="shared" si="16"/>
        <v>0</v>
      </c>
      <c r="J415" s="140">
        <v>3.7999999999999999E-2</v>
      </c>
      <c r="K415" s="207">
        <f t="shared" si="17"/>
        <v>3.7999999999999999E-2</v>
      </c>
      <c r="L415" s="140"/>
      <c r="M415" s="164"/>
    </row>
    <row r="416" spans="1:13" s="29" customFormat="1" ht="35.1" customHeight="1" x14ac:dyDescent="0.3">
      <c r="A416" s="36"/>
      <c r="B416" s="22"/>
      <c r="C416" s="23"/>
      <c r="D416" s="24"/>
      <c r="E416" s="25"/>
      <c r="F416" s="26"/>
      <c r="G416" s="27"/>
      <c r="H416" s="43"/>
      <c r="J416" s="140"/>
      <c r="K416" s="207"/>
      <c r="L416" s="140"/>
      <c r="M416" s="164"/>
    </row>
    <row r="417" spans="1:13" s="29" customFormat="1" ht="35.1" customHeight="1" x14ac:dyDescent="0.3">
      <c r="A417" s="36">
        <v>78</v>
      </c>
      <c r="B417" s="37" t="s">
        <v>47</v>
      </c>
      <c r="C417" s="175" t="s">
        <v>577</v>
      </c>
      <c r="D417" s="176" t="s">
        <v>534</v>
      </c>
      <c r="E417" s="203">
        <v>1</v>
      </c>
      <c r="F417" s="204" t="s">
        <v>69</v>
      </c>
      <c r="G417" s="42"/>
      <c r="H417" s="43">
        <f t="shared" si="16"/>
        <v>0</v>
      </c>
      <c r="J417" s="140">
        <v>1.6E-2</v>
      </c>
      <c r="K417" s="207">
        <f>E417*J417</f>
        <v>1.6E-2</v>
      </c>
      <c r="L417" s="140"/>
      <c r="M417" s="164"/>
    </row>
    <row r="418" spans="1:13" s="29" customFormat="1" ht="35.1" customHeight="1" x14ac:dyDescent="0.3">
      <c r="A418" s="21"/>
      <c r="B418" s="22"/>
      <c r="C418" s="23"/>
      <c r="D418" s="24"/>
      <c r="E418" s="25"/>
      <c r="F418" s="26"/>
      <c r="G418" s="27"/>
      <c r="H418" s="20"/>
      <c r="J418" s="140"/>
      <c r="K418" s="145"/>
      <c r="L418" s="140"/>
      <c r="M418" s="146"/>
    </row>
    <row r="419" spans="1:13" s="4" customFormat="1" ht="35.1" customHeight="1" x14ac:dyDescent="0.3">
      <c r="A419" s="13">
        <v>79</v>
      </c>
      <c r="B419" s="14" t="s">
        <v>12</v>
      </c>
      <c r="C419" s="15" t="s">
        <v>269</v>
      </c>
      <c r="D419" s="16" t="s">
        <v>270</v>
      </c>
      <c r="E419" s="17">
        <f>75+2*5</f>
        <v>85</v>
      </c>
      <c r="F419" s="18" t="s">
        <v>66</v>
      </c>
      <c r="G419" s="19"/>
      <c r="H419" s="20">
        <f t="shared" si="16"/>
        <v>0</v>
      </c>
      <c r="J419" s="139">
        <v>0</v>
      </c>
      <c r="K419" s="145">
        <f t="shared" si="17"/>
        <v>0</v>
      </c>
      <c r="L419" s="139">
        <v>0</v>
      </c>
      <c r="M419" s="146" t="e">
        <f>L419*#REF!</f>
        <v>#REF!</v>
      </c>
    </row>
    <row r="420" spans="1:13" s="29" customFormat="1" ht="35.1" customHeight="1" x14ac:dyDescent="0.3">
      <c r="A420" s="21"/>
      <c r="B420" s="22"/>
      <c r="C420" s="23"/>
      <c r="D420" s="24" t="s">
        <v>535</v>
      </c>
      <c r="E420" s="25"/>
      <c r="F420" s="26"/>
      <c r="G420" s="27"/>
      <c r="H420" s="20"/>
      <c r="J420" s="140"/>
      <c r="K420" s="145"/>
      <c r="L420" s="140"/>
      <c r="M420" s="146"/>
    </row>
    <row r="421" spans="1:13" s="29" customFormat="1" ht="35.1" customHeight="1" x14ac:dyDescent="0.3">
      <c r="A421" s="21"/>
      <c r="B421" s="22"/>
      <c r="C421" s="23"/>
      <c r="D421" s="24"/>
      <c r="E421" s="25"/>
      <c r="F421" s="26"/>
      <c r="G421" s="27"/>
      <c r="H421" s="20"/>
      <c r="J421" s="140"/>
      <c r="K421" s="145"/>
      <c r="L421" s="140"/>
      <c r="M421" s="146"/>
    </row>
    <row r="422" spans="1:13" s="4" customFormat="1" ht="35.1" customHeight="1" x14ac:dyDescent="0.3">
      <c r="A422" s="13">
        <v>80</v>
      </c>
      <c r="B422" s="14" t="s">
        <v>12</v>
      </c>
      <c r="C422" s="15" t="s">
        <v>269</v>
      </c>
      <c r="D422" s="16" t="s">
        <v>268</v>
      </c>
      <c r="E422" s="17">
        <f>E419</f>
        <v>85</v>
      </c>
      <c r="F422" s="18" t="s">
        <v>66</v>
      </c>
      <c r="G422" s="19"/>
      <c r="H422" s="20">
        <f t="shared" si="16"/>
        <v>0</v>
      </c>
      <c r="J422" s="139">
        <v>0</v>
      </c>
      <c r="K422" s="145">
        <f t="shared" si="17"/>
        <v>0</v>
      </c>
      <c r="L422" s="139">
        <v>0</v>
      </c>
      <c r="M422" s="146" t="e">
        <f>L422*#REF!</f>
        <v>#REF!</v>
      </c>
    </row>
    <row r="423" spans="1:13" s="29" customFormat="1" ht="35.1" customHeight="1" x14ac:dyDescent="0.3">
      <c r="A423" s="21"/>
      <c r="B423" s="22"/>
      <c r="C423" s="23"/>
      <c r="D423" s="24" t="s">
        <v>535</v>
      </c>
      <c r="E423" s="25"/>
      <c r="F423" s="26"/>
      <c r="G423" s="27"/>
      <c r="H423" s="20"/>
      <c r="J423" s="140"/>
      <c r="K423" s="145"/>
      <c r="L423" s="140"/>
      <c r="M423" s="146"/>
    </row>
    <row r="424" spans="1:13" s="29" customFormat="1" ht="35.1" customHeight="1" x14ac:dyDescent="0.3">
      <c r="A424" s="21"/>
      <c r="B424" s="22"/>
      <c r="C424" s="23"/>
      <c r="D424" s="24"/>
      <c r="E424" s="25"/>
      <c r="F424" s="26"/>
      <c r="G424" s="27"/>
      <c r="H424" s="20"/>
      <c r="J424" s="140"/>
      <c r="K424" s="145"/>
      <c r="L424" s="140"/>
      <c r="M424" s="146"/>
    </row>
    <row r="425" spans="1:13" s="4" customFormat="1" ht="35.1" customHeight="1" x14ac:dyDescent="0.3">
      <c r="A425" s="13">
        <v>81</v>
      </c>
      <c r="B425" s="14" t="s">
        <v>12</v>
      </c>
      <c r="C425" s="15" t="s">
        <v>87</v>
      </c>
      <c r="D425" s="16" t="s">
        <v>88</v>
      </c>
      <c r="E425" s="17">
        <v>3</v>
      </c>
      <c r="F425" s="18" t="s">
        <v>69</v>
      </c>
      <c r="G425" s="19"/>
      <c r="H425" s="20">
        <f t="shared" si="16"/>
        <v>0</v>
      </c>
      <c r="J425" s="139">
        <v>0.46009</v>
      </c>
      <c r="K425" s="145">
        <f t="shared" si="17"/>
        <v>1.3802699999999999</v>
      </c>
      <c r="L425" s="139">
        <v>0</v>
      </c>
      <c r="M425" s="146" t="e">
        <f>L425*#REF!</f>
        <v>#REF!</v>
      </c>
    </row>
    <row r="426" spans="1:13" s="29" customFormat="1" ht="35.1" customHeight="1" x14ac:dyDescent="0.3">
      <c r="A426" s="21"/>
      <c r="B426" s="22"/>
      <c r="C426" s="23"/>
      <c r="D426" s="24"/>
      <c r="E426" s="25"/>
      <c r="F426" s="26"/>
      <c r="G426" s="27"/>
      <c r="H426" s="20"/>
      <c r="J426" s="140"/>
      <c r="K426" s="145"/>
      <c r="L426" s="140"/>
      <c r="M426" s="149"/>
    </row>
    <row r="427" spans="1:13" s="4" customFormat="1" ht="35.1" customHeight="1" x14ac:dyDescent="0.3">
      <c r="A427" s="13">
        <v>82</v>
      </c>
      <c r="B427" s="14" t="s">
        <v>12</v>
      </c>
      <c r="C427" s="15" t="s">
        <v>89</v>
      </c>
      <c r="D427" s="16" t="s">
        <v>90</v>
      </c>
      <c r="E427" s="17">
        <v>10</v>
      </c>
      <c r="F427" s="18" t="s">
        <v>91</v>
      </c>
      <c r="G427" s="19"/>
      <c r="H427" s="20">
        <f t="shared" si="16"/>
        <v>0</v>
      </c>
      <c r="J427" s="139"/>
      <c r="K427" s="145"/>
      <c r="L427" s="139"/>
      <c r="M427" s="146"/>
    </row>
    <row r="428" spans="1:13" s="29" customFormat="1" ht="35.1" customHeight="1" x14ac:dyDescent="0.3">
      <c r="A428" s="21"/>
      <c r="B428" s="22"/>
      <c r="C428" s="23"/>
      <c r="D428" s="24"/>
      <c r="E428" s="25"/>
      <c r="F428" s="26"/>
      <c r="G428" s="27"/>
      <c r="H428" s="20"/>
      <c r="J428" s="140"/>
      <c r="K428" s="145"/>
      <c r="L428" s="140"/>
      <c r="M428" s="149"/>
    </row>
    <row r="429" spans="1:13" s="4" customFormat="1" ht="35.1" customHeight="1" x14ac:dyDescent="0.3">
      <c r="A429" s="13">
        <v>83</v>
      </c>
      <c r="B429" s="14" t="s">
        <v>12</v>
      </c>
      <c r="C429" s="15" t="s">
        <v>92</v>
      </c>
      <c r="D429" s="16" t="s">
        <v>93</v>
      </c>
      <c r="E429" s="17">
        <f>E431+E433+E435</f>
        <v>14</v>
      </c>
      <c r="F429" s="18" t="s">
        <v>69</v>
      </c>
      <c r="G429" s="19"/>
      <c r="H429" s="20">
        <f t="shared" si="16"/>
        <v>0</v>
      </c>
      <c r="J429" s="139">
        <v>0.12303</v>
      </c>
      <c r="K429" s="145">
        <f t="shared" si="17"/>
        <v>1.7224200000000001</v>
      </c>
      <c r="L429" s="139">
        <v>0</v>
      </c>
      <c r="M429" s="146" t="e">
        <f>L429*#REF!</f>
        <v>#REF!</v>
      </c>
    </row>
    <row r="430" spans="1:13" s="29" customFormat="1" ht="35.1" customHeight="1" x14ac:dyDescent="0.3">
      <c r="A430" s="21"/>
      <c r="B430" s="22"/>
      <c r="C430" s="23"/>
      <c r="D430" s="24"/>
      <c r="E430" s="25"/>
      <c r="F430" s="26"/>
      <c r="G430" s="27"/>
      <c r="H430" s="43"/>
      <c r="J430" s="140"/>
      <c r="K430" s="145"/>
      <c r="L430" s="140"/>
      <c r="M430" s="149"/>
    </row>
    <row r="431" spans="1:13" s="29" customFormat="1" ht="35.1" customHeight="1" x14ac:dyDescent="0.3">
      <c r="A431" s="36">
        <v>84</v>
      </c>
      <c r="B431" s="37" t="s">
        <v>47</v>
      </c>
      <c r="C431" s="38" t="s">
        <v>202</v>
      </c>
      <c r="D431" s="39" t="s">
        <v>179</v>
      </c>
      <c r="E431" s="40">
        <v>3</v>
      </c>
      <c r="F431" s="41" t="s">
        <v>69</v>
      </c>
      <c r="G431" s="42"/>
      <c r="H431" s="43">
        <f t="shared" si="16"/>
        <v>0</v>
      </c>
      <c r="J431" s="140">
        <v>1.3299999999999999E-2</v>
      </c>
      <c r="K431" s="145">
        <f t="shared" si="17"/>
        <v>3.9899999999999998E-2</v>
      </c>
      <c r="L431" s="140">
        <v>0</v>
      </c>
      <c r="M431" s="164" t="e">
        <f>L431*#REF!</f>
        <v>#REF!</v>
      </c>
    </row>
    <row r="432" spans="1:13" s="29" customFormat="1" ht="35.1" customHeight="1" x14ac:dyDescent="0.3">
      <c r="A432" s="36"/>
      <c r="B432" s="22"/>
      <c r="C432" s="38"/>
      <c r="D432" s="24"/>
      <c r="E432" s="25"/>
      <c r="F432" s="26"/>
      <c r="G432" s="27"/>
      <c r="H432" s="43"/>
      <c r="J432" s="140"/>
      <c r="K432" s="145"/>
      <c r="L432" s="140"/>
      <c r="M432" s="164"/>
    </row>
    <row r="433" spans="1:13" s="29" customFormat="1" ht="35.1" customHeight="1" x14ac:dyDescent="0.3">
      <c r="A433" s="36">
        <v>85</v>
      </c>
      <c r="B433" s="37" t="s">
        <v>47</v>
      </c>
      <c r="C433" s="38" t="s">
        <v>203</v>
      </c>
      <c r="D433" s="39" t="s">
        <v>183</v>
      </c>
      <c r="E433" s="40">
        <v>4</v>
      </c>
      <c r="F433" s="41" t="s">
        <v>69</v>
      </c>
      <c r="G433" s="42"/>
      <c r="H433" s="43">
        <f t="shared" si="16"/>
        <v>0</v>
      </c>
      <c r="J433" s="140">
        <v>1.3299999999999999E-2</v>
      </c>
      <c r="K433" s="145">
        <f t="shared" si="17"/>
        <v>5.3199999999999997E-2</v>
      </c>
      <c r="L433" s="140">
        <v>0</v>
      </c>
      <c r="M433" s="164" t="e">
        <f>L433*#REF!</f>
        <v>#REF!</v>
      </c>
    </row>
    <row r="434" spans="1:13" s="29" customFormat="1" ht="35.1" customHeight="1" x14ac:dyDescent="0.3">
      <c r="A434" s="36"/>
      <c r="B434" s="22"/>
      <c r="C434" s="23"/>
      <c r="D434" s="24"/>
      <c r="E434" s="25"/>
      <c r="F434" s="26"/>
      <c r="G434" s="27"/>
      <c r="H434" s="43"/>
      <c r="J434" s="140"/>
      <c r="K434" s="145"/>
      <c r="L434" s="140"/>
      <c r="M434" s="164"/>
    </row>
    <row r="435" spans="1:13" s="29" customFormat="1" ht="35.1" customHeight="1" x14ac:dyDescent="0.3">
      <c r="A435" s="36">
        <v>86</v>
      </c>
      <c r="B435" s="37" t="s">
        <v>47</v>
      </c>
      <c r="C435" s="38" t="s">
        <v>204</v>
      </c>
      <c r="D435" s="39" t="s">
        <v>178</v>
      </c>
      <c r="E435" s="40">
        <f>E431+E433</f>
        <v>7</v>
      </c>
      <c r="F435" s="41" t="s">
        <v>69</v>
      </c>
      <c r="G435" s="42"/>
      <c r="H435" s="43">
        <f t="shared" ref="H435:H496" si="19">E435*G435</f>
        <v>0</v>
      </c>
      <c r="J435" s="140">
        <v>8.9999999999999998E-4</v>
      </c>
      <c r="K435" s="145">
        <f t="shared" si="17"/>
        <v>6.3E-3</v>
      </c>
      <c r="L435" s="140">
        <v>0</v>
      </c>
      <c r="M435" s="164" t="e">
        <f>L435*#REF!</f>
        <v>#REF!</v>
      </c>
    </row>
    <row r="436" spans="1:13" s="29" customFormat="1" ht="35.1" customHeight="1" x14ac:dyDescent="0.3">
      <c r="A436" s="21"/>
      <c r="B436" s="22"/>
      <c r="C436" s="23"/>
      <c r="D436" s="111"/>
      <c r="E436" s="25"/>
      <c r="F436" s="26"/>
      <c r="G436" s="27"/>
      <c r="H436" s="20"/>
      <c r="J436" s="140"/>
      <c r="K436" s="145"/>
      <c r="L436" s="140"/>
      <c r="M436" s="146"/>
    </row>
    <row r="437" spans="1:13" s="4" customFormat="1" ht="35.1" customHeight="1" x14ac:dyDescent="0.3">
      <c r="A437" s="13">
        <v>87</v>
      </c>
      <c r="B437" s="14" t="s">
        <v>12</v>
      </c>
      <c r="C437" s="15" t="s">
        <v>94</v>
      </c>
      <c r="D437" s="16" t="s">
        <v>95</v>
      </c>
      <c r="E437" s="17">
        <f>E439+E441</f>
        <v>2</v>
      </c>
      <c r="F437" s="18" t="s">
        <v>69</v>
      </c>
      <c r="G437" s="19"/>
      <c r="H437" s="20">
        <f t="shared" si="19"/>
        <v>0</v>
      </c>
      <c r="J437" s="139">
        <v>0.32906000000000002</v>
      </c>
      <c r="K437" s="145">
        <f t="shared" si="17"/>
        <v>0.65812000000000004</v>
      </c>
      <c r="L437" s="139">
        <v>0</v>
      </c>
      <c r="M437" s="146" t="e">
        <f>L437*#REF!</f>
        <v>#REF!</v>
      </c>
    </row>
    <row r="438" spans="1:13" s="29" customFormat="1" ht="35.1" customHeight="1" x14ac:dyDescent="0.3">
      <c r="A438" s="21"/>
      <c r="B438" s="22"/>
      <c r="C438" s="23"/>
      <c r="D438" s="24"/>
      <c r="E438" s="25"/>
      <c r="F438" s="26"/>
      <c r="G438" s="27"/>
      <c r="H438" s="20"/>
      <c r="J438" s="140"/>
      <c r="K438" s="145"/>
      <c r="L438" s="140"/>
      <c r="M438" s="146"/>
    </row>
    <row r="439" spans="1:13" s="4" customFormat="1" ht="35.1" customHeight="1" x14ac:dyDescent="0.3">
      <c r="A439" s="36">
        <v>88</v>
      </c>
      <c r="B439" s="37" t="s">
        <v>47</v>
      </c>
      <c r="C439" s="38" t="s">
        <v>96</v>
      </c>
      <c r="D439" s="39" t="s">
        <v>97</v>
      </c>
      <c r="E439" s="40">
        <v>1</v>
      </c>
      <c r="F439" s="41" t="s">
        <v>69</v>
      </c>
      <c r="G439" s="42"/>
      <c r="H439" s="43">
        <f t="shared" si="19"/>
        <v>0</v>
      </c>
      <c r="J439" s="139">
        <v>2.9499999999999998E-2</v>
      </c>
      <c r="K439" s="145">
        <f t="shared" si="17"/>
        <v>2.9499999999999998E-2</v>
      </c>
      <c r="L439" s="139">
        <v>0</v>
      </c>
      <c r="M439" s="146" t="e">
        <f>L439*#REF!</f>
        <v>#REF!</v>
      </c>
    </row>
    <row r="440" spans="1:13" s="29" customFormat="1" ht="35.1" customHeight="1" x14ac:dyDescent="0.3">
      <c r="A440" s="21"/>
      <c r="B440" s="22"/>
      <c r="C440" s="23"/>
      <c r="D440" s="24"/>
      <c r="E440" s="25"/>
      <c r="F440" s="26"/>
      <c r="G440" s="27"/>
      <c r="H440" s="43"/>
      <c r="J440" s="140"/>
      <c r="K440" s="145"/>
      <c r="L440" s="140"/>
      <c r="M440" s="146"/>
    </row>
    <row r="441" spans="1:13" s="4" customFormat="1" ht="35.1" customHeight="1" x14ac:dyDescent="0.3">
      <c r="A441" s="36">
        <v>89</v>
      </c>
      <c r="B441" s="37" t="s">
        <v>47</v>
      </c>
      <c r="C441" s="175" t="s">
        <v>82</v>
      </c>
      <c r="D441" s="39" t="s">
        <v>99</v>
      </c>
      <c r="E441" s="40">
        <v>1</v>
      </c>
      <c r="F441" s="41" t="s">
        <v>69</v>
      </c>
      <c r="G441" s="42"/>
      <c r="H441" s="43">
        <f t="shared" si="19"/>
        <v>0</v>
      </c>
      <c r="J441" s="139">
        <v>8.9999999999999998E-4</v>
      </c>
      <c r="K441" s="145">
        <f t="shared" si="17"/>
        <v>8.9999999999999998E-4</v>
      </c>
      <c r="L441" s="139">
        <v>0</v>
      </c>
      <c r="M441" s="146" t="e">
        <f>L441*#REF!</f>
        <v>#REF!</v>
      </c>
    </row>
    <row r="442" spans="1:13" s="29" customFormat="1" ht="35.1" customHeight="1" x14ac:dyDescent="0.3">
      <c r="A442" s="21"/>
      <c r="B442" s="22"/>
      <c r="C442" s="23"/>
      <c r="D442" s="24"/>
      <c r="E442" s="196"/>
      <c r="F442" s="26"/>
      <c r="G442" s="27"/>
      <c r="H442" s="20"/>
      <c r="J442" s="140"/>
      <c r="K442" s="145"/>
      <c r="L442" s="140"/>
      <c r="M442" s="146"/>
    </row>
    <row r="443" spans="1:13" s="4" customFormat="1" ht="35.1" customHeight="1" x14ac:dyDescent="0.3">
      <c r="A443" s="13">
        <v>90</v>
      </c>
      <c r="B443" s="14" t="s">
        <v>12</v>
      </c>
      <c r="C443" s="15" t="s">
        <v>100</v>
      </c>
      <c r="D443" s="16" t="s">
        <v>101</v>
      </c>
      <c r="E443" s="206">
        <f>E331+E326+E321</f>
        <v>92</v>
      </c>
      <c r="F443" s="18" t="s">
        <v>66</v>
      </c>
      <c r="G443" s="19"/>
      <c r="H443" s="20">
        <f t="shared" si="19"/>
        <v>0</v>
      </c>
      <c r="J443" s="139">
        <v>6.9999999999999994E-5</v>
      </c>
      <c r="K443" s="145">
        <f t="shared" si="17"/>
        <v>6.4399999999999995E-3</v>
      </c>
      <c r="L443" s="139">
        <v>0</v>
      </c>
      <c r="M443" s="146" t="e">
        <f>L443*#REF!</f>
        <v>#REF!</v>
      </c>
    </row>
    <row r="444" spans="1:13" s="29" customFormat="1" ht="35.1" customHeight="1" x14ac:dyDescent="0.3">
      <c r="A444" s="21"/>
      <c r="B444" s="22"/>
      <c r="C444" s="23"/>
      <c r="D444" s="24" t="s">
        <v>535</v>
      </c>
      <c r="E444" s="196"/>
      <c r="F444" s="26"/>
      <c r="G444" s="27"/>
      <c r="H444" s="20"/>
      <c r="J444" s="140"/>
      <c r="K444" s="145"/>
      <c r="L444" s="140"/>
      <c r="M444" s="146"/>
    </row>
    <row r="445" spans="1:13" s="29" customFormat="1" ht="35.1" customHeight="1" x14ac:dyDescent="0.3">
      <c r="A445" s="21"/>
      <c r="B445" s="22"/>
      <c r="C445" s="23"/>
      <c r="D445" s="24"/>
      <c r="E445" s="196"/>
      <c r="F445" s="26"/>
      <c r="G445" s="27"/>
      <c r="H445" s="20"/>
      <c r="J445" s="140"/>
      <c r="K445" s="145"/>
      <c r="L445" s="140"/>
      <c r="M445" s="146"/>
    </row>
    <row r="446" spans="1:13" s="4" customFormat="1" ht="35.1" customHeight="1" x14ac:dyDescent="0.3">
      <c r="A446" s="13">
        <v>91</v>
      </c>
      <c r="B446" s="14" t="s">
        <v>12</v>
      </c>
      <c r="C446" s="15" t="s">
        <v>102</v>
      </c>
      <c r="D446" s="16" t="s">
        <v>103</v>
      </c>
      <c r="E446" s="206">
        <f>E443</f>
        <v>92</v>
      </c>
      <c r="F446" s="18" t="s">
        <v>66</v>
      </c>
      <c r="G446" s="19"/>
      <c r="H446" s="20">
        <f t="shared" si="19"/>
        <v>0</v>
      </c>
      <c r="J446" s="139">
        <v>1.9000000000000001E-4</v>
      </c>
      <c r="K446" s="145">
        <f t="shared" si="17"/>
        <v>1.7480000000000002E-2</v>
      </c>
      <c r="L446" s="139">
        <v>0</v>
      </c>
      <c r="M446" s="146" t="e">
        <f>L446*#REF!</f>
        <v>#REF!</v>
      </c>
    </row>
    <row r="447" spans="1:13" s="4" customFormat="1" ht="35.1" customHeight="1" x14ac:dyDescent="0.3">
      <c r="A447" s="13"/>
      <c r="B447" s="14"/>
      <c r="C447" s="15"/>
      <c r="D447" s="16" t="s">
        <v>535</v>
      </c>
      <c r="E447" s="17"/>
      <c r="F447" s="18"/>
      <c r="G447" s="19"/>
      <c r="H447" s="20"/>
      <c r="J447" s="139"/>
      <c r="K447" s="145"/>
      <c r="L447" s="139"/>
      <c r="M447" s="146"/>
    </row>
    <row r="448" spans="1:13" s="4" customFormat="1" ht="35.1" customHeight="1" x14ac:dyDescent="0.3">
      <c r="A448" s="13"/>
      <c r="B448" s="14"/>
      <c r="C448" s="15"/>
      <c r="D448" s="16"/>
      <c r="E448" s="17"/>
      <c r="F448" s="18"/>
      <c r="G448" s="19"/>
      <c r="H448" s="20"/>
      <c r="J448" s="139"/>
      <c r="K448" s="145"/>
      <c r="L448" s="139"/>
      <c r="M448" s="146"/>
    </row>
    <row r="449" spans="1:13" s="4" customFormat="1" ht="35.1" customHeight="1" x14ac:dyDescent="0.3">
      <c r="A449" s="13">
        <v>92</v>
      </c>
      <c r="B449" s="14" t="s">
        <v>12</v>
      </c>
      <c r="C449" s="15" t="s">
        <v>279</v>
      </c>
      <c r="D449" s="16" t="s">
        <v>207</v>
      </c>
      <c r="E449" s="65">
        <f>E453</f>
        <v>64.5</v>
      </c>
      <c r="F449" s="74" t="s">
        <v>66</v>
      </c>
      <c r="G449" s="19"/>
      <c r="H449" s="20">
        <f t="shared" si="19"/>
        <v>0</v>
      </c>
      <c r="J449" s="139"/>
      <c r="K449" s="145">
        <f t="shared" si="17"/>
        <v>0</v>
      </c>
      <c r="L449" s="139"/>
      <c r="M449" s="146"/>
    </row>
    <row r="450" spans="1:13" s="4" customFormat="1" ht="35.1" customHeight="1" x14ac:dyDescent="0.3">
      <c r="A450" s="13"/>
      <c r="B450" s="14"/>
      <c r="C450" s="15"/>
      <c r="D450" s="24" t="s">
        <v>272</v>
      </c>
      <c r="E450" s="25">
        <f>1.5+3</f>
        <v>4.5</v>
      </c>
      <c r="F450" s="26" t="s">
        <v>66</v>
      </c>
      <c r="G450" s="19"/>
      <c r="H450" s="20"/>
      <c r="J450" s="139"/>
      <c r="K450" s="145"/>
      <c r="L450" s="139"/>
      <c r="M450" s="146"/>
    </row>
    <row r="451" spans="1:13" s="4" customFormat="1" ht="35.1" customHeight="1" x14ac:dyDescent="0.3">
      <c r="A451" s="13"/>
      <c r="B451" s="14"/>
      <c r="C451" s="15"/>
      <c r="D451" s="24" t="s">
        <v>274</v>
      </c>
      <c r="E451" s="25">
        <f>60-1.5</f>
        <v>58.5</v>
      </c>
      <c r="F451" s="26" t="s">
        <v>66</v>
      </c>
      <c r="G451" s="19"/>
      <c r="H451" s="20"/>
      <c r="J451" s="139"/>
      <c r="K451" s="145"/>
      <c r="L451" s="139"/>
      <c r="M451" s="146"/>
    </row>
    <row r="452" spans="1:13" s="4" customFormat="1" ht="35.1" customHeight="1" x14ac:dyDescent="0.3">
      <c r="A452" s="13"/>
      <c r="B452" s="14"/>
      <c r="C452" s="15"/>
      <c r="D452" s="121" t="s">
        <v>275</v>
      </c>
      <c r="E452" s="122">
        <f>1.5</f>
        <v>1.5</v>
      </c>
      <c r="F452" s="123" t="s">
        <v>66</v>
      </c>
      <c r="G452" s="19"/>
      <c r="H452" s="20"/>
      <c r="J452" s="139"/>
      <c r="K452" s="145"/>
      <c r="L452" s="139"/>
      <c r="M452" s="146"/>
    </row>
    <row r="453" spans="1:13" s="4" customFormat="1" ht="35.1" customHeight="1" x14ac:dyDescent="0.3">
      <c r="A453" s="21"/>
      <c r="B453" s="22"/>
      <c r="C453" s="23"/>
      <c r="D453" s="121" t="s">
        <v>18</v>
      </c>
      <c r="E453" s="251">
        <f>SUM(E450:E452)</f>
        <v>64.5</v>
      </c>
      <c r="F453" s="252" t="s">
        <v>66</v>
      </c>
      <c r="G453" s="27"/>
      <c r="H453" s="20"/>
      <c r="J453" s="139"/>
      <c r="K453" s="145"/>
      <c r="L453" s="139"/>
      <c r="M453" s="146"/>
    </row>
    <row r="454" spans="1:13" s="4" customFormat="1" ht="35.1" customHeight="1" x14ac:dyDescent="0.3">
      <c r="A454" s="21"/>
      <c r="B454" s="22"/>
      <c r="C454" s="23"/>
      <c r="D454" s="24"/>
      <c r="E454" s="72"/>
      <c r="F454" s="64"/>
      <c r="G454" s="27"/>
      <c r="H454" s="20"/>
      <c r="J454" s="139"/>
      <c r="K454" s="145"/>
      <c r="L454" s="139"/>
      <c r="M454" s="146"/>
    </row>
    <row r="455" spans="1:13" s="4" customFormat="1" ht="35.1" customHeight="1" x14ac:dyDescent="0.3">
      <c r="A455" s="36">
        <v>93</v>
      </c>
      <c r="B455" s="37" t="s">
        <v>47</v>
      </c>
      <c r="C455" s="175" t="s">
        <v>205</v>
      </c>
      <c r="D455" s="39" t="s">
        <v>206</v>
      </c>
      <c r="E455" s="73">
        <f>E456</f>
        <v>11</v>
      </c>
      <c r="F455" s="75" t="s">
        <v>69</v>
      </c>
      <c r="G455" s="42"/>
      <c r="H455" s="43">
        <f t="shared" si="19"/>
        <v>0</v>
      </c>
      <c r="J455" s="139">
        <f>6*18.3/1000</f>
        <v>0.10980000000000001</v>
      </c>
      <c r="K455" s="145">
        <f t="shared" si="17"/>
        <v>1.2078000000000002</v>
      </c>
      <c r="L455" s="139"/>
      <c r="M455" s="146"/>
    </row>
    <row r="456" spans="1:13" s="4" customFormat="1" ht="35.1" customHeight="1" x14ac:dyDescent="0.3">
      <c r="A456" s="21"/>
      <c r="B456" s="22"/>
      <c r="C456" s="23"/>
      <c r="D456" s="24" t="s">
        <v>278</v>
      </c>
      <c r="E456" s="72">
        <f>E449/6+0.25</f>
        <v>11</v>
      </c>
      <c r="F456" s="64" t="s">
        <v>69</v>
      </c>
      <c r="G456" s="27"/>
      <c r="H456" s="20"/>
      <c r="J456" s="139"/>
      <c r="K456" s="145"/>
      <c r="L456" s="139"/>
      <c r="M456" s="146"/>
    </row>
    <row r="457" spans="1:13" s="4" customFormat="1" ht="35.1" customHeight="1" x14ac:dyDescent="0.3">
      <c r="A457" s="21"/>
      <c r="B457" s="22"/>
      <c r="C457" s="23"/>
      <c r="D457" s="24"/>
      <c r="E457" s="72"/>
      <c r="F457" s="64"/>
      <c r="G457" s="27"/>
      <c r="H457" s="20"/>
      <c r="J457" s="139"/>
      <c r="K457" s="145"/>
      <c r="L457" s="139"/>
      <c r="M457" s="146"/>
    </row>
    <row r="458" spans="1:13" s="4" customFormat="1" ht="35.1" customHeight="1" x14ac:dyDescent="0.3">
      <c r="A458" s="13">
        <v>94</v>
      </c>
      <c r="B458" s="14" t="s">
        <v>12</v>
      </c>
      <c r="C458" s="15" t="s">
        <v>279</v>
      </c>
      <c r="D458" s="16" t="s">
        <v>373</v>
      </c>
      <c r="E458" s="65">
        <f>E461</f>
        <v>19</v>
      </c>
      <c r="F458" s="74" t="s">
        <v>66</v>
      </c>
      <c r="G458" s="19"/>
      <c r="H458" s="20">
        <f t="shared" si="19"/>
        <v>0</v>
      </c>
      <c r="J458" s="139"/>
      <c r="K458" s="145"/>
      <c r="L458" s="139"/>
      <c r="M458" s="146"/>
    </row>
    <row r="459" spans="1:13" s="4" customFormat="1" ht="35.1" customHeight="1" x14ac:dyDescent="0.3">
      <c r="A459" s="21"/>
      <c r="B459" s="22"/>
      <c r="C459" s="23"/>
      <c r="D459" s="24" t="s">
        <v>276</v>
      </c>
      <c r="E459" s="25">
        <v>9</v>
      </c>
      <c r="F459" s="26" t="s">
        <v>66</v>
      </c>
      <c r="G459" s="27"/>
      <c r="H459" s="20"/>
      <c r="J459" s="139"/>
      <c r="K459" s="145"/>
      <c r="L459" s="139"/>
      <c r="M459" s="146"/>
    </row>
    <row r="460" spans="1:13" s="4" customFormat="1" ht="35.1" customHeight="1" x14ac:dyDescent="0.3">
      <c r="A460" s="21"/>
      <c r="B460" s="22"/>
      <c r="C460" s="23"/>
      <c r="D460" s="24" t="s">
        <v>277</v>
      </c>
      <c r="E460" s="25">
        <v>10</v>
      </c>
      <c r="F460" s="26" t="s">
        <v>66</v>
      </c>
      <c r="G460" s="27"/>
      <c r="H460" s="20"/>
      <c r="J460" s="139"/>
      <c r="K460" s="145"/>
      <c r="L460" s="139"/>
      <c r="M460" s="146"/>
    </row>
    <row r="461" spans="1:13" s="4" customFormat="1" ht="35.1" customHeight="1" x14ac:dyDescent="0.3">
      <c r="A461" s="21"/>
      <c r="B461" s="22"/>
      <c r="C461" s="23"/>
      <c r="D461" s="121" t="s">
        <v>18</v>
      </c>
      <c r="E461" s="251">
        <f>SUM(E459:E460)</f>
        <v>19</v>
      </c>
      <c r="F461" s="252" t="s">
        <v>66</v>
      </c>
      <c r="G461" s="27"/>
      <c r="H461" s="20"/>
      <c r="J461" s="139"/>
      <c r="K461" s="145"/>
      <c r="L461" s="139"/>
      <c r="M461" s="146"/>
    </row>
    <row r="462" spans="1:13" s="4" customFormat="1" ht="35.1" customHeight="1" x14ac:dyDescent="0.3">
      <c r="A462" s="21"/>
      <c r="B462" s="22"/>
      <c r="C462" s="23"/>
      <c r="D462" s="24"/>
      <c r="E462" s="72"/>
      <c r="F462" s="64"/>
      <c r="G462" s="27"/>
      <c r="H462" s="20"/>
      <c r="J462" s="139"/>
      <c r="K462" s="145"/>
      <c r="L462" s="139"/>
      <c r="M462" s="146"/>
    </row>
    <row r="463" spans="1:13" s="4" customFormat="1" ht="35.1" customHeight="1" x14ac:dyDescent="0.3">
      <c r="A463" s="36">
        <v>95</v>
      </c>
      <c r="B463" s="37" t="s">
        <v>47</v>
      </c>
      <c r="C463" s="175" t="s">
        <v>499</v>
      </c>
      <c r="D463" s="39" t="s">
        <v>374</v>
      </c>
      <c r="E463" s="73">
        <f>E464</f>
        <v>4</v>
      </c>
      <c r="F463" s="75" t="s">
        <v>69</v>
      </c>
      <c r="G463" s="42"/>
      <c r="H463" s="43">
        <f t="shared" si="19"/>
        <v>0</v>
      </c>
      <c r="J463" s="139">
        <f>6*7.3/1000</f>
        <v>4.3799999999999999E-2</v>
      </c>
      <c r="K463" s="145">
        <f t="shared" si="17"/>
        <v>0.17519999999999999</v>
      </c>
      <c r="L463" s="139"/>
      <c r="M463" s="146"/>
    </row>
    <row r="464" spans="1:13" s="4" customFormat="1" ht="35.1" customHeight="1" x14ac:dyDescent="0.3">
      <c r="A464" s="21"/>
      <c r="B464" s="22"/>
      <c r="C464" s="23"/>
      <c r="D464" s="24" t="s">
        <v>375</v>
      </c>
      <c r="E464" s="72">
        <v>4</v>
      </c>
      <c r="F464" s="64" t="s">
        <v>69</v>
      </c>
      <c r="G464" s="27"/>
      <c r="H464" s="20"/>
      <c r="J464" s="139"/>
      <c r="K464" s="145"/>
      <c r="L464" s="139"/>
      <c r="M464" s="146"/>
    </row>
    <row r="465" spans="1:13" s="4" customFormat="1" ht="35.1" customHeight="1" x14ac:dyDescent="0.3">
      <c r="A465" s="21"/>
      <c r="B465" s="22"/>
      <c r="C465" s="23"/>
      <c r="D465" s="24"/>
      <c r="E465" s="72"/>
      <c r="F465" s="64"/>
      <c r="G465" s="27"/>
      <c r="H465" s="20"/>
      <c r="J465" s="139"/>
      <c r="K465" s="145"/>
      <c r="L465" s="139"/>
      <c r="M465" s="146"/>
    </row>
    <row r="466" spans="1:13" s="4" customFormat="1" ht="35.1" customHeight="1" x14ac:dyDescent="0.3">
      <c r="A466" s="13">
        <v>96</v>
      </c>
      <c r="B466" s="14" t="s">
        <v>12</v>
      </c>
      <c r="C466" s="15" t="s">
        <v>280</v>
      </c>
      <c r="D466" s="16" t="s">
        <v>148</v>
      </c>
      <c r="E466" s="65">
        <f>E472</f>
        <v>31.5</v>
      </c>
      <c r="F466" s="74" t="s">
        <v>66</v>
      </c>
      <c r="G466" s="19"/>
      <c r="H466" s="20">
        <f t="shared" si="19"/>
        <v>0</v>
      </c>
      <c r="J466" s="139"/>
      <c r="K466" s="145">
        <f t="shared" si="17"/>
        <v>0</v>
      </c>
      <c r="L466" s="139"/>
      <c r="M466" s="146"/>
    </row>
    <row r="467" spans="1:13" s="4" customFormat="1" ht="35.1" customHeight="1" x14ac:dyDescent="0.3">
      <c r="A467" s="13"/>
      <c r="B467" s="14"/>
      <c r="C467" s="15"/>
      <c r="D467" s="24" t="s">
        <v>406</v>
      </c>
      <c r="E467" s="25">
        <f>4.3+4.7+4.4+5-4*1.5</f>
        <v>12.399999999999999</v>
      </c>
      <c r="F467" s="26" t="s">
        <v>66</v>
      </c>
      <c r="G467" s="19"/>
      <c r="H467" s="20"/>
      <c r="J467" s="139"/>
      <c r="K467" s="145"/>
      <c r="L467" s="139"/>
      <c r="M467" s="146"/>
    </row>
    <row r="468" spans="1:13" s="4" customFormat="1" ht="35.1" customHeight="1" x14ac:dyDescent="0.3">
      <c r="A468" s="13"/>
      <c r="B468" s="14"/>
      <c r="C468" s="15"/>
      <c r="D468" s="24" t="s">
        <v>405</v>
      </c>
      <c r="E468" s="25">
        <f>5*2</f>
        <v>10</v>
      </c>
      <c r="F468" s="26" t="s">
        <v>66</v>
      </c>
      <c r="G468" s="19"/>
      <c r="H468" s="20"/>
      <c r="J468" s="139"/>
      <c r="K468" s="145"/>
      <c r="L468" s="139"/>
      <c r="M468" s="146"/>
    </row>
    <row r="469" spans="1:13" s="4" customFormat="1" ht="35.1" customHeight="1" x14ac:dyDescent="0.3">
      <c r="A469" s="13"/>
      <c r="B469" s="14"/>
      <c r="C469" s="15"/>
      <c r="D469" s="24" t="s">
        <v>376</v>
      </c>
      <c r="E469" s="25">
        <f>3.6-1.5</f>
        <v>2.1</v>
      </c>
      <c r="F469" s="26" t="s">
        <v>66</v>
      </c>
      <c r="G469" s="19"/>
      <c r="H469" s="20"/>
      <c r="J469" s="139"/>
      <c r="K469" s="145"/>
      <c r="L469" s="139"/>
      <c r="M469" s="146"/>
    </row>
    <row r="470" spans="1:13" s="4" customFormat="1" ht="35.1" customHeight="1" x14ac:dyDescent="0.3">
      <c r="A470" s="13"/>
      <c r="B470" s="14"/>
      <c r="C470" s="15"/>
      <c r="D470" s="24" t="s">
        <v>379</v>
      </c>
      <c r="E470" s="25">
        <v>2</v>
      </c>
      <c r="F470" s="26" t="s">
        <v>66</v>
      </c>
      <c r="G470" s="19"/>
      <c r="H470" s="20"/>
      <c r="J470" s="139"/>
      <c r="K470" s="145"/>
      <c r="L470" s="139"/>
      <c r="M470" s="146"/>
    </row>
    <row r="471" spans="1:13" s="4" customFormat="1" ht="35.1" customHeight="1" x14ac:dyDescent="0.3">
      <c r="A471" s="13"/>
      <c r="B471" s="14"/>
      <c r="C471" s="15"/>
      <c r="D471" s="24" t="s">
        <v>536</v>
      </c>
      <c r="E471" s="25">
        <v>5</v>
      </c>
      <c r="F471" s="26" t="s">
        <v>66</v>
      </c>
      <c r="G471" s="19"/>
      <c r="H471" s="20"/>
      <c r="J471" s="139"/>
      <c r="K471" s="145"/>
      <c r="L471" s="139"/>
      <c r="M471" s="146"/>
    </row>
    <row r="472" spans="1:13" s="4" customFormat="1" ht="35.1" customHeight="1" x14ac:dyDescent="0.3">
      <c r="A472" s="13"/>
      <c r="B472" s="14"/>
      <c r="C472" s="15"/>
      <c r="D472" s="253" t="s">
        <v>273</v>
      </c>
      <c r="E472" s="254">
        <f>SUM(E467:E471)</f>
        <v>31.5</v>
      </c>
      <c r="F472" s="255" t="s">
        <v>66</v>
      </c>
      <c r="G472" s="19"/>
      <c r="H472" s="20"/>
      <c r="J472" s="139"/>
      <c r="K472" s="145"/>
      <c r="L472" s="139"/>
      <c r="M472" s="146"/>
    </row>
    <row r="473" spans="1:13" s="4" customFormat="1" ht="35.1" customHeight="1" x14ac:dyDescent="0.3">
      <c r="A473" s="13"/>
      <c r="B473" s="14"/>
      <c r="C473" s="15"/>
      <c r="D473" s="16"/>
      <c r="E473" s="65"/>
      <c r="F473" s="74"/>
      <c r="G473" s="19"/>
      <c r="H473" s="20"/>
      <c r="J473" s="139"/>
      <c r="K473" s="145"/>
      <c r="L473" s="139"/>
      <c r="M473" s="146"/>
    </row>
    <row r="474" spans="1:13" s="4" customFormat="1" ht="35.1" customHeight="1" x14ac:dyDescent="0.3">
      <c r="A474" s="36">
        <v>97</v>
      </c>
      <c r="B474" s="37" t="s">
        <v>47</v>
      </c>
      <c r="C474" s="38" t="s">
        <v>500</v>
      </c>
      <c r="D474" s="39" t="s">
        <v>149</v>
      </c>
      <c r="E474" s="73">
        <f>E475</f>
        <v>6</v>
      </c>
      <c r="F474" s="75" t="s">
        <v>69</v>
      </c>
      <c r="G474" s="42"/>
      <c r="H474" s="43">
        <f t="shared" si="19"/>
        <v>0</v>
      </c>
      <c r="J474" s="139">
        <f>6*2.9/1000</f>
        <v>1.7399999999999999E-2</v>
      </c>
      <c r="K474" s="145">
        <f t="shared" ref="K474:K526" si="20">E474*J474</f>
        <v>0.10439999999999999</v>
      </c>
      <c r="L474" s="139"/>
      <c r="M474" s="146"/>
    </row>
    <row r="475" spans="1:13" s="4" customFormat="1" ht="35.1" customHeight="1" x14ac:dyDescent="0.3">
      <c r="A475" s="21"/>
      <c r="B475" s="22"/>
      <c r="C475" s="23"/>
      <c r="D475" s="24" t="s">
        <v>537</v>
      </c>
      <c r="E475" s="72">
        <f>E466/6+0.75</f>
        <v>6</v>
      </c>
      <c r="F475" s="64" t="s">
        <v>69</v>
      </c>
      <c r="G475" s="27"/>
      <c r="H475" s="20"/>
      <c r="J475" s="139"/>
      <c r="K475" s="145"/>
      <c r="L475" s="139"/>
      <c r="M475" s="146"/>
    </row>
    <row r="476" spans="1:13" s="4" customFormat="1" ht="35.1" customHeight="1" x14ac:dyDescent="0.3">
      <c r="A476" s="21"/>
      <c r="B476" s="22"/>
      <c r="C476" s="23"/>
      <c r="D476" s="24"/>
      <c r="E476" s="72"/>
      <c r="F476" s="64"/>
      <c r="G476" s="27"/>
      <c r="H476" s="20"/>
      <c r="J476" s="139"/>
      <c r="K476" s="145"/>
      <c r="L476" s="139"/>
      <c r="M476" s="146"/>
    </row>
    <row r="477" spans="1:13" s="4" customFormat="1" ht="35.1" customHeight="1" x14ac:dyDescent="0.3">
      <c r="A477" s="13">
        <v>98</v>
      </c>
      <c r="B477" s="14" t="s">
        <v>12</v>
      </c>
      <c r="C477" s="15" t="s">
        <v>281</v>
      </c>
      <c r="D477" s="16" t="s">
        <v>282</v>
      </c>
      <c r="E477" s="65">
        <f>E479</f>
        <v>7</v>
      </c>
      <c r="F477" s="74" t="s">
        <v>69</v>
      </c>
      <c r="G477" s="19"/>
      <c r="H477" s="20">
        <f t="shared" si="19"/>
        <v>0</v>
      </c>
      <c r="J477" s="139"/>
      <c r="K477" s="145">
        <f t="shared" si="20"/>
        <v>0</v>
      </c>
      <c r="L477" s="139"/>
      <c r="M477" s="146"/>
    </row>
    <row r="478" spans="1:13" s="4" customFormat="1" ht="35.1" customHeight="1" x14ac:dyDescent="0.3">
      <c r="A478" s="21"/>
      <c r="B478" s="22"/>
      <c r="C478" s="23"/>
      <c r="D478" s="24"/>
      <c r="E478" s="72"/>
      <c r="F478" s="64"/>
      <c r="G478" s="27"/>
      <c r="H478" s="20"/>
      <c r="J478" s="139"/>
      <c r="K478" s="145"/>
      <c r="L478" s="139"/>
      <c r="M478" s="146"/>
    </row>
    <row r="479" spans="1:13" s="186" customFormat="1" ht="35.1" customHeight="1" x14ac:dyDescent="0.3">
      <c r="A479" s="173">
        <v>99</v>
      </c>
      <c r="B479" s="174" t="s">
        <v>47</v>
      </c>
      <c r="C479" s="38" t="s">
        <v>501</v>
      </c>
      <c r="D479" s="176" t="s">
        <v>283</v>
      </c>
      <c r="E479" s="177">
        <f>E482</f>
        <v>7</v>
      </c>
      <c r="F479" s="178" t="s">
        <v>69</v>
      </c>
      <c r="G479" s="42"/>
      <c r="H479" s="43">
        <f t="shared" si="19"/>
        <v>0</v>
      </c>
      <c r="J479" s="187">
        <f>16.3/1000</f>
        <v>1.6300000000000002E-2</v>
      </c>
      <c r="K479" s="145">
        <f t="shared" si="20"/>
        <v>0.11410000000000001</v>
      </c>
      <c r="L479" s="187"/>
      <c r="M479" s="188"/>
    </row>
    <row r="480" spans="1:13" s="4" customFormat="1" ht="35.1" customHeight="1" x14ac:dyDescent="0.3">
      <c r="A480" s="21"/>
      <c r="B480" s="22"/>
      <c r="C480" s="23"/>
      <c r="D480" s="24" t="s">
        <v>403</v>
      </c>
      <c r="E480" s="72">
        <v>5</v>
      </c>
      <c r="F480" s="64" t="s">
        <v>69</v>
      </c>
      <c r="G480" s="27"/>
      <c r="H480" s="20"/>
      <c r="J480" s="139"/>
      <c r="K480" s="145"/>
      <c r="L480" s="139"/>
      <c r="M480" s="146"/>
    </row>
    <row r="481" spans="1:13" s="4" customFormat="1" ht="35.1" customHeight="1" x14ac:dyDescent="0.3">
      <c r="A481" s="21"/>
      <c r="B481" s="22"/>
      <c r="C481" s="23"/>
      <c r="D481" s="24" t="s">
        <v>404</v>
      </c>
      <c r="E481" s="72">
        <v>2</v>
      </c>
      <c r="F481" s="64" t="s">
        <v>69</v>
      </c>
      <c r="G481" s="27"/>
      <c r="H481" s="20"/>
      <c r="J481" s="139"/>
      <c r="K481" s="145"/>
      <c r="L481" s="139"/>
      <c r="M481" s="146"/>
    </row>
    <row r="482" spans="1:13" s="4" customFormat="1" ht="35.1" customHeight="1" x14ac:dyDescent="0.3">
      <c r="A482" s="21"/>
      <c r="B482" s="22"/>
      <c r="C482" s="23"/>
      <c r="D482" s="121" t="s">
        <v>18</v>
      </c>
      <c r="E482" s="251">
        <f>SUM(E480:E481)</f>
        <v>7</v>
      </c>
      <c r="F482" s="252" t="s">
        <v>69</v>
      </c>
      <c r="G482" s="27"/>
      <c r="H482" s="20"/>
      <c r="J482" s="139"/>
      <c r="K482" s="145"/>
      <c r="L482" s="139"/>
      <c r="M482" s="146"/>
    </row>
    <row r="483" spans="1:13" s="4" customFormat="1" ht="35.1" customHeight="1" x14ac:dyDescent="0.3">
      <c r="A483" s="21"/>
      <c r="B483" s="22"/>
      <c r="C483" s="23"/>
      <c r="D483" s="24"/>
      <c r="E483" s="72"/>
      <c r="F483" s="64"/>
      <c r="G483" s="27"/>
      <c r="H483" s="20"/>
      <c r="J483" s="139"/>
      <c r="K483" s="145"/>
      <c r="L483" s="139"/>
      <c r="M483" s="146"/>
    </row>
    <row r="484" spans="1:13" s="4" customFormat="1" ht="35.1" customHeight="1" x14ac:dyDescent="0.3">
      <c r="A484" s="13">
        <v>100</v>
      </c>
      <c r="B484" s="14" t="s">
        <v>12</v>
      </c>
      <c r="C484" s="15" t="s">
        <v>284</v>
      </c>
      <c r="D484" s="16" t="s">
        <v>209</v>
      </c>
      <c r="E484" s="205">
        <v>3</v>
      </c>
      <c r="F484" s="74" t="s">
        <v>69</v>
      </c>
      <c r="G484" s="19"/>
      <c r="H484" s="20">
        <f t="shared" si="19"/>
        <v>0</v>
      </c>
      <c r="J484" s="139"/>
      <c r="K484" s="145">
        <f t="shared" si="20"/>
        <v>0</v>
      </c>
      <c r="L484" s="139"/>
      <c r="M484" s="146"/>
    </row>
    <row r="485" spans="1:13" s="4" customFormat="1" ht="35.1" customHeight="1" x14ac:dyDescent="0.3">
      <c r="A485" s="21"/>
      <c r="B485" s="22"/>
      <c r="C485" s="23"/>
      <c r="D485" s="24"/>
      <c r="E485" s="72"/>
      <c r="F485" s="64"/>
      <c r="G485" s="27"/>
      <c r="H485" s="20"/>
      <c r="J485" s="139"/>
      <c r="K485" s="145"/>
      <c r="L485" s="139"/>
      <c r="M485" s="146"/>
    </row>
    <row r="486" spans="1:13" s="186" customFormat="1" ht="35.1" customHeight="1" x14ac:dyDescent="0.3">
      <c r="A486" s="173">
        <v>101</v>
      </c>
      <c r="B486" s="174" t="s">
        <v>47</v>
      </c>
      <c r="C486" s="175" t="s">
        <v>208</v>
      </c>
      <c r="D486" s="176" t="s">
        <v>185</v>
      </c>
      <c r="E486" s="177">
        <v>1</v>
      </c>
      <c r="F486" s="178" t="s">
        <v>69</v>
      </c>
      <c r="G486" s="42"/>
      <c r="H486" s="43">
        <f t="shared" si="19"/>
        <v>0</v>
      </c>
      <c r="J486" s="187">
        <f>8.5/1000</f>
        <v>8.5000000000000006E-3</v>
      </c>
      <c r="K486" s="145">
        <f t="shared" si="20"/>
        <v>8.5000000000000006E-3</v>
      </c>
      <c r="L486" s="187"/>
      <c r="M486" s="188"/>
    </row>
    <row r="487" spans="1:13" s="4" customFormat="1" ht="35.1" customHeight="1" x14ac:dyDescent="0.3">
      <c r="A487" s="21"/>
      <c r="B487" s="22"/>
      <c r="C487" s="191"/>
      <c r="D487" s="24"/>
      <c r="E487" s="193"/>
      <c r="F487" s="64"/>
      <c r="G487" s="27"/>
      <c r="H487" s="20"/>
      <c r="J487" s="139"/>
      <c r="K487" s="145"/>
      <c r="L487" s="139"/>
      <c r="M487" s="146"/>
    </row>
    <row r="488" spans="1:13" s="186" customFormat="1" ht="35.1" customHeight="1" x14ac:dyDescent="0.3">
      <c r="A488" s="173">
        <v>102</v>
      </c>
      <c r="B488" s="174" t="s">
        <v>47</v>
      </c>
      <c r="C488" s="175" t="s">
        <v>509</v>
      </c>
      <c r="D488" s="176" t="s">
        <v>507</v>
      </c>
      <c r="E488" s="177">
        <v>1</v>
      </c>
      <c r="F488" s="178" t="s">
        <v>69</v>
      </c>
      <c r="G488" s="42"/>
      <c r="H488" s="43">
        <f t="shared" si="19"/>
        <v>0</v>
      </c>
      <c r="J488" s="187">
        <f>0.8/1000</f>
        <v>8.0000000000000004E-4</v>
      </c>
      <c r="K488" s="145">
        <f t="shared" si="20"/>
        <v>8.0000000000000004E-4</v>
      </c>
      <c r="L488" s="187"/>
      <c r="M488" s="188"/>
    </row>
    <row r="489" spans="1:13" s="4" customFormat="1" ht="35.1" customHeight="1" x14ac:dyDescent="0.3">
      <c r="A489" s="21"/>
      <c r="B489" s="22"/>
      <c r="C489" s="191"/>
      <c r="D489" s="24" t="s">
        <v>381</v>
      </c>
      <c r="E489" s="193">
        <v>1</v>
      </c>
      <c r="F489" s="64" t="s">
        <v>69</v>
      </c>
      <c r="G489" s="27"/>
      <c r="H489" s="43"/>
      <c r="J489" s="139"/>
      <c r="K489" s="145"/>
      <c r="L489" s="139"/>
      <c r="M489" s="146"/>
    </row>
    <row r="490" spans="1:13" s="4" customFormat="1" ht="35.1" customHeight="1" x14ac:dyDescent="0.3">
      <c r="A490" s="21"/>
      <c r="B490" s="22"/>
      <c r="C490" s="191"/>
      <c r="D490" s="24"/>
      <c r="E490" s="193"/>
      <c r="F490" s="64"/>
      <c r="G490" s="27"/>
      <c r="H490" s="43"/>
      <c r="J490" s="139"/>
      <c r="K490" s="145"/>
      <c r="L490" s="139"/>
      <c r="M490" s="146"/>
    </row>
    <row r="491" spans="1:13" s="186" customFormat="1" ht="35.1" customHeight="1" x14ac:dyDescent="0.3">
      <c r="A491" s="173">
        <v>103</v>
      </c>
      <c r="B491" s="174" t="s">
        <v>47</v>
      </c>
      <c r="C491" s="175" t="s">
        <v>508</v>
      </c>
      <c r="D491" s="176" t="s">
        <v>506</v>
      </c>
      <c r="E491" s="177">
        <v>1</v>
      </c>
      <c r="F491" s="178" t="s">
        <v>69</v>
      </c>
      <c r="G491" s="42"/>
      <c r="H491" s="43">
        <f t="shared" si="19"/>
        <v>0</v>
      </c>
      <c r="J491" s="187">
        <f>2.4/1000</f>
        <v>2.3999999999999998E-3</v>
      </c>
      <c r="K491" s="145">
        <f t="shared" si="20"/>
        <v>2.3999999999999998E-3</v>
      </c>
      <c r="L491" s="187"/>
      <c r="M491" s="188"/>
    </row>
    <row r="492" spans="1:13" s="4" customFormat="1" ht="35.1" customHeight="1" x14ac:dyDescent="0.3">
      <c r="A492" s="21"/>
      <c r="B492" s="22"/>
      <c r="C492" s="23"/>
      <c r="D492" s="24" t="s">
        <v>381</v>
      </c>
      <c r="E492" s="72">
        <v>1</v>
      </c>
      <c r="F492" s="64" t="s">
        <v>69</v>
      </c>
      <c r="G492" s="27"/>
      <c r="H492" s="43"/>
      <c r="J492" s="139"/>
      <c r="K492" s="145">
        <f t="shared" si="20"/>
        <v>0</v>
      </c>
      <c r="L492" s="139"/>
      <c r="M492" s="146"/>
    </row>
    <row r="493" spans="1:13" s="4" customFormat="1" ht="35.1" customHeight="1" x14ac:dyDescent="0.3">
      <c r="A493" s="21"/>
      <c r="B493" s="22"/>
      <c r="C493" s="23"/>
      <c r="D493" s="24"/>
      <c r="E493" s="72"/>
      <c r="F493" s="64"/>
      <c r="G493" s="27"/>
      <c r="H493" s="20"/>
      <c r="J493" s="139"/>
      <c r="K493" s="145"/>
      <c r="L493" s="139"/>
      <c r="M493" s="146"/>
    </row>
    <row r="494" spans="1:13" s="4" customFormat="1" ht="35.1" customHeight="1" x14ac:dyDescent="0.3">
      <c r="A494" s="13">
        <v>104</v>
      </c>
      <c r="B494" s="14" t="s">
        <v>12</v>
      </c>
      <c r="C494" s="15" t="s">
        <v>285</v>
      </c>
      <c r="D494" s="16" t="s">
        <v>150</v>
      </c>
      <c r="E494" s="65">
        <f>E496+E499+E501+E503+E506</f>
        <v>28</v>
      </c>
      <c r="F494" s="74" t="s">
        <v>69</v>
      </c>
      <c r="G494" s="19"/>
      <c r="H494" s="20">
        <f t="shared" si="19"/>
        <v>0</v>
      </c>
      <c r="J494" s="139"/>
      <c r="K494" s="145">
        <f t="shared" si="20"/>
        <v>0</v>
      </c>
      <c r="L494" s="139"/>
      <c r="M494" s="146"/>
    </row>
    <row r="495" spans="1:13" s="4" customFormat="1" ht="35.1" customHeight="1" x14ac:dyDescent="0.3">
      <c r="A495" s="21"/>
      <c r="B495" s="22"/>
      <c r="C495" s="23"/>
      <c r="D495" s="24"/>
      <c r="E495" s="72"/>
      <c r="F495" s="64"/>
      <c r="G495" s="27"/>
      <c r="H495" s="20"/>
      <c r="J495" s="139"/>
      <c r="K495" s="145"/>
      <c r="L495" s="139"/>
      <c r="M495" s="146"/>
    </row>
    <row r="496" spans="1:13" s="186" customFormat="1" ht="35.1" customHeight="1" x14ac:dyDescent="0.3">
      <c r="A496" s="173">
        <v>105</v>
      </c>
      <c r="B496" s="174" t="s">
        <v>47</v>
      </c>
      <c r="C496" s="38" t="s">
        <v>502</v>
      </c>
      <c r="D496" s="176" t="s">
        <v>467</v>
      </c>
      <c r="E496" s="177">
        <f>E497</f>
        <v>6</v>
      </c>
      <c r="F496" s="178" t="s">
        <v>69</v>
      </c>
      <c r="G496" s="42"/>
      <c r="H496" s="43">
        <f t="shared" si="19"/>
        <v>0</v>
      </c>
      <c r="J496" s="187">
        <f>0.7/1000</f>
        <v>6.9999999999999999E-4</v>
      </c>
      <c r="K496" s="145">
        <f t="shared" si="20"/>
        <v>4.1999999999999997E-3</v>
      </c>
      <c r="L496" s="187"/>
      <c r="M496" s="188"/>
    </row>
    <row r="497" spans="1:13" s="4" customFormat="1" ht="35.1" customHeight="1" x14ac:dyDescent="0.3">
      <c r="A497" s="21"/>
      <c r="B497" s="22"/>
      <c r="C497" s="23"/>
      <c r="D497" s="24" t="s">
        <v>402</v>
      </c>
      <c r="E497" s="193">
        <v>6</v>
      </c>
      <c r="F497" s="64" t="s">
        <v>69</v>
      </c>
      <c r="G497" s="27"/>
      <c r="H497" s="20"/>
      <c r="J497" s="139"/>
      <c r="K497" s="145"/>
      <c r="L497" s="139"/>
      <c r="M497" s="146"/>
    </row>
    <row r="498" spans="1:13" s="4" customFormat="1" ht="35.1" customHeight="1" x14ac:dyDescent="0.3">
      <c r="A498" s="21"/>
      <c r="B498" s="22"/>
      <c r="C498" s="23"/>
      <c r="D498" s="24"/>
      <c r="E498" s="193"/>
      <c r="F498" s="64"/>
      <c r="G498" s="27"/>
      <c r="H498" s="20"/>
      <c r="J498" s="139"/>
      <c r="K498" s="145"/>
      <c r="L498" s="139"/>
      <c r="M498" s="146"/>
    </row>
    <row r="499" spans="1:13" s="186" customFormat="1" ht="35.1" customHeight="1" x14ac:dyDescent="0.3">
      <c r="A499" s="173">
        <v>106</v>
      </c>
      <c r="B499" s="174" t="s">
        <v>47</v>
      </c>
      <c r="C499" s="38" t="s">
        <v>503</v>
      </c>
      <c r="D499" s="176" t="s">
        <v>468</v>
      </c>
      <c r="E499" s="177">
        <f>E496</f>
        <v>6</v>
      </c>
      <c r="F499" s="178" t="s">
        <v>69</v>
      </c>
      <c r="G499" s="42"/>
      <c r="H499" s="43">
        <f t="shared" ref="H499:H561" si="21">E499*G499</f>
        <v>0</v>
      </c>
      <c r="J499" s="187">
        <f>0.7/1000</f>
        <v>6.9999999999999999E-4</v>
      </c>
      <c r="K499" s="145">
        <f t="shared" si="20"/>
        <v>4.1999999999999997E-3</v>
      </c>
      <c r="L499" s="187"/>
      <c r="M499" s="188"/>
    </row>
    <row r="500" spans="1:13" s="4" customFormat="1" ht="35.1" customHeight="1" x14ac:dyDescent="0.3">
      <c r="A500" s="21"/>
      <c r="B500" s="22"/>
      <c r="C500" s="23"/>
      <c r="D500" s="24"/>
      <c r="E500" s="193"/>
      <c r="F500" s="64"/>
      <c r="G500" s="27"/>
      <c r="H500" s="43"/>
      <c r="J500" s="139"/>
      <c r="K500" s="145"/>
      <c r="L500" s="139"/>
      <c r="M500" s="146"/>
    </row>
    <row r="501" spans="1:13" s="186" customFormat="1" ht="35.1" customHeight="1" x14ac:dyDescent="0.3">
      <c r="A501" s="173">
        <v>107</v>
      </c>
      <c r="B501" s="174" t="s">
        <v>47</v>
      </c>
      <c r="C501" s="38" t="s">
        <v>504</v>
      </c>
      <c r="D501" s="176" t="s">
        <v>469</v>
      </c>
      <c r="E501" s="177">
        <v>6</v>
      </c>
      <c r="F501" s="178" t="s">
        <v>69</v>
      </c>
      <c r="G501" s="42"/>
      <c r="H501" s="43">
        <f t="shared" si="21"/>
        <v>0</v>
      </c>
      <c r="J501" s="187">
        <f>0.8/1000</f>
        <v>8.0000000000000004E-4</v>
      </c>
      <c r="K501" s="145">
        <f t="shared" si="20"/>
        <v>4.8000000000000004E-3</v>
      </c>
      <c r="L501" s="187"/>
      <c r="M501" s="188"/>
    </row>
    <row r="502" spans="1:13" s="186" customFormat="1" ht="35.1" customHeight="1" x14ac:dyDescent="0.3">
      <c r="A502" s="189"/>
      <c r="B502" s="190"/>
      <c r="C502" s="191"/>
      <c r="D502" s="192"/>
      <c r="E502" s="193"/>
      <c r="F502" s="194"/>
      <c r="G502" s="27"/>
      <c r="H502" s="20"/>
      <c r="J502" s="187"/>
      <c r="K502" s="145"/>
      <c r="L502" s="187"/>
      <c r="M502" s="188"/>
    </row>
    <row r="503" spans="1:13" s="186" customFormat="1" ht="35.1" customHeight="1" x14ac:dyDescent="0.3">
      <c r="A503" s="173">
        <v>108</v>
      </c>
      <c r="B503" s="174" t="s">
        <v>47</v>
      </c>
      <c r="C503" s="38" t="s">
        <v>505</v>
      </c>
      <c r="D503" s="176" t="s">
        <v>470</v>
      </c>
      <c r="E503" s="177">
        <f>E504</f>
        <v>5</v>
      </c>
      <c r="F503" s="178" t="s">
        <v>69</v>
      </c>
      <c r="G503" s="42"/>
      <c r="H503" s="43">
        <f t="shared" si="21"/>
        <v>0</v>
      </c>
      <c r="J503" s="187">
        <f>0.8/1000</f>
        <v>8.0000000000000004E-4</v>
      </c>
      <c r="K503" s="145">
        <f t="shared" si="20"/>
        <v>4.0000000000000001E-3</v>
      </c>
      <c r="L503" s="187"/>
      <c r="M503" s="188"/>
    </row>
    <row r="504" spans="1:13" s="186" customFormat="1" ht="35.1" customHeight="1" x14ac:dyDescent="0.3">
      <c r="A504" s="189"/>
      <c r="B504" s="190"/>
      <c r="C504" s="191"/>
      <c r="D504" s="192" t="s">
        <v>401</v>
      </c>
      <c r="E504" s="193">
        <v>5</v>
      </c>
      <c r="F504" s="194" t="s">
        <v>69</v>
      </c>
      <c r="G504" s="27"/>
      <c r="H504" s="20"/>
      <c r="J504" s="187"/>
      <c r="K504" s="145"/>
      <c r="L504" s="187"/>
      <c r="M504" s="188"/>
    </row>
    <row r="505" spans="1:13" s="186" customFormat="1" ht="35.1" customHeight="1" x14ac:dyDescent="0.3">
      <c r="A505" s="189"/>
      <c r="B505" s="190"/>
      <c r="C505" s="191"/>
      <c r="D505" s="192"/>
      <c r="E505" s="193"/>
      <c r="F505" s="194"/>
      <c r="G505" s="27"/>
      <c r="H505" s="20"/>
      <c r="J505" s="187"/>
      <c r="K505" s="145"/>
      <c r="L505" s="187"/>
      <c r="M505" s="188"/>
    </row>
    <row r="506" spans="1:13" s="186" customFormat="1" ht="35.1" customHeight="1" x14ac:dyDescent="0.3">
      <c r="A506" s="173">
        <v>109</v>
      </c>
      <c r="B506" s="174" t="s">
        <v>47</v>
      </c>
      <c r="C506" s="175" t="s">
        <v>83</v>
      </c>
      <c r="D506" s="176" t="s">
        <v>197</v>
      </c>
      <c r="E506" s="177">
        <f>E507</f>
        <v>5</v>
      </c>
      <c r="F506" s="178" t="s">
        <v>69</v>
      </c>
      <c r="G506" s="42"/>
      <c r="H506" s="43">
        <f t="shared" si="21"/>
        <v>0</v>
      </c>
      <c r="J506" s="187">
        <v>8.0000000000000004E-4</v>
      </c>
      <c r="K506" s="145">
        <f t="shared" si="20"/>
        <v>4.0000000000000001E-3</v>
      </c>
      <c r="L506" s="187"/>
      <c r="M506" s="188"/>
    </row>
    <row r="507" spans="1:13" s="186" customFormat="1" ht="35.1" customHeight="1" x14ac:dyDescent="0.3">
      <c r="A507" s="189"/>
      <c r="B507" s="190"/>
      <c r="C507" s="191"/>
      <c r="D507" s="192" t="s">
        <v>400</v>
      </c>
      <c r="E507" s="193">
        <v>5</v>
      </c>
      <c r="F507" s="194" t="s">
        <v>69</v>
      </c>
      <c r="G507" s="27"/>
      <c r="H507" s="20"/>
      <c r="J507" s="187"/>
      <c r="K507" s="145"/>
      <c r="L507" s="187"/>
      <c r="M507" s="188"/>
    </row>
    <row r="508" spans="1:13" s="4" customFormat="1" ht="35.1" customHeight="1" x14ac:dyDescent="0.3">
      <c r="A508" s="36"/>
      <c r="B508" s="37"/>
      <c r="C508" s="38"/>
      <c r="D508" s="39"/>
      <c r="E508" s="73"/>
      <c r="F508" s="75"/>
      <c r="G508" s="42"/>
      <c r="H508" s="20"/>
      <c r="J508" s="139"/>
      <c r="K508" s="145"/>
      <c r="L508" s="139"/>
      <c r="M508" s="146"/>
    </row>
    <row r="509" spans="1:13" s="4" customFormat="1" ht="35.1" customHeight="1" x14ac:dyDescent="0.3">
      <c r="A509" s="13">
        <v>110</v>
      </c>
      <c r="B509" s="14" t="s">
        <v>12</v>
      </c>
      <c r="C509" s="15" t="s">
        <v>288</v>
      </c>
      <c r="D509" s="16" t="s">
        <v>151</v>
      </c>
      <c r="E509" s="65">
        <v>1</v>
      </c>
      <c r="F509" s="74" t="s">
        <v>69</v>
      </c>
      <c r="G509" s="19"/>
      <c r="H509" s="20">
        <f t="shared" si="21"/>
        <v>0</v>
      </c>
      <c r="J509" s="139"/>
      <c r="K509" s="145">
        <f t="shared" si="20"/>
        <v>0</v>
      </c>
      <c r="L509" s="139"/>
      <c r="M509" s="146"/>
    </row>
    <row r="510" spans="1:13" s="4" customFormat="1" ht="35.1" customHeight="1" x14ac:dyDescent="0.3">
      <c r="A510" s="21"/>
      <c r="B510" s="22"/>
      <c r="C510" s="23"/>
      <c r="D510" s="24"/>
      <c r="E510" s="72"/>
      <c r="F510" s="64"/>
      <c r="G510" s="27"/>
      <c r="H510" s="20"/>
      <c r="J510" s="139"/>
      <c r="K510" s="145"/>
      <c r="L510" s="139"/>
      <c r="M510" s="146"/>
    </row>
    <row r="511" spans="1:13" s="4" customFormat="1" ht="35.1" customHeight="1" x14ac:dyDescent="0.3">
      <c r="A511" s="36">
        <v>111</v>
      </c>
      <c r="B511" s="37" t="s">
        <v>47</v>
      </c>
      <c r="C511" s="38" t="s">
        <v>210</v>
      </c>
      <c r="D511" s="39" t="s">
        <v>186</v>
      </c>
      <c r="E511" s="73">
        <f>E514</f>
        <v>1</v>
      </c>
      <c r="F511" s="75" t="s">
        <v>147</v>
      </c>
      <c r="G511" s="42"/>
      <c r="H511" s="43">
        <f t="shared" si="21"/>
        <v>0</v>
      </c>
      <c r="J511" s="139">
        <f>520/1000</f>
        <v>0.52</v>
      </c>
      <c r="K511" s="145">
        <f t="shared" si="20"/>
        <v>0.52</v>
      </c>
      <c r="L511" s="139"/>
      <c r="M511" s="146"/>
    </row>
    <row r="512" spans="1:13" s="4" customFormat="1" ht="35.1" customHeight="1" x14ac:dyDescent="0.3">
      <c r="A512" s="36"/>
      <c r="B512" s="37"/>
      <c r="C512" s="38"/>
      <c r="D512" s="24" t="s">
        <v>510</v>
      </c>
      <c r="E512" s="72">
        <v>0</v>
      </c>
      <c r="F512" s="64" t="s">
        <v>69</v>
      </c>
      <c r="G512" s="42"/>
      <c r="H512" s="20"/>
      <c r="J512" s="139"/>
      <c r="K512" s="145"/>
      <c r="L512" s="139"/>
      <c r="M512" s="146"/>
    </row>
    <row r="513" spans="1:13" s="4" customFormat="1" ht="35.1" customHeight="1" x14ac:dyDescent="0.3">
      <c r="A513" s="36"/>
      <c r="B513" s="37"/>
      <c r="C513" s="38"/>
      <c r="D513" s="24" t="s">
        <v>382</v>
      </c>
      <c r="E513" s="72">
        <v>1</v>
      </c>
      <c r="F513" s="64" t="s">
        <v>69</v>
      </c>
      <c r="G513" s="42"/>
      <c r="H513" s="20"/>
      <c r="J513" s="139"/>
      <c r="K513" s="145"/>
      <c r="L513" s="139"/>
      <c r="M513" s="146"/>
    </row>
    <row r="514" spans="1:13" s="4" customFormat="1" ht="35.1" customHeight="1" x14ac:dyDescent="0.3">
      <c r="A514" s="36"/>
      <c r="B514" s="37"/>
      <c r="C514" s="38"/>
      <c r="D514" s="121" t="s">
        <v>18</v>
      </c>
      <c r="E514" s="251">
        <f>SUM(E512:E513)</f>
        <v>1</v>
      </c>
      <c r="F514" s="252" t="s">
        <v>69</v>
      </c>
      <c r="G514" s="42"/>
      <c r="H514" s="20"/>
      <c r="J514" s="139"/>
      <c r="K514" s="145"/>
      <c r="L514" s="139"/>
      <c r="M514" s="146"/>
    </row>
    <row r="515" spans="1:13" s="4" customFormat="1" ht="35.1" customHeight="1" x14ac:dyDescent="0.3">
      <c r="A515" s="21"/>
      <c r="B515" s="22"/>
      <c r="C515" s="23"/>
      <c r="D515" s="24"/>
      <c r="E515" s="72"/>
      <c r="F515" s="64"/>
      <c r="G515" s="27"/>
      <c r="H515" s="20"/>
      <c r="J515" s="139"/>
      <c r="K515" s="145"/>
      <c r="L515" s="139"/>
      <c r="M515" s="146"/>
    </row>
    <row r="516" spans="1:13" s="4" customFormat="1" ht="35.1" customHeight="1" x14ac:dyDescent="0.3">
      <c r="A516" s="13">
        <v>112</v>
      </c>
      <c r="B516" s="14" t="s">
        <v>12</v>
      </c>
      <c r="C516" s="15" t="s">
        <v>286</v>
      </c>
      <c r="D516" s="16" t="s">
        <v>287</v>
      </c>
      <c r="E516" s="65">
        <v>2</v>
      </c>
      <c r="F516" s="74" t="s">
        <v>69</v>
      </c>
      <c r="G516" s="19"/>
      <c r="H516" s="20">
        <f t="shared" si="21"/>
        <v>0</v>
      </c>
      <c r="J516" s="139"/>
      <c r="K516" s="145">
        <f t="shared" si="20"/>
        <v>0</v>
      </c>
      <c r="L516" s="139"/>
      <c r="M516" s="146"/>
    </row>
    <row r="517" spans="1:13" s="4" customFormat="1" ht="35.1" customHeight="1" x14ac:dyDescent="0.3">
      <c r="A517" s="21"/>
      <c r="B517" s="22"/>
      <c r="C517" s="23"/>
      <c r="D517" s="24" t="s">
        <v>384</v>
      </c>
      <c r="E517" s="72">
        <v>1</v>
      </c>
      <c r="F517" s="64" t="s">
        <v>69</v>
      </c>
      <c r="G517" s="27"/>
      <c r="H517" s="20"/>
      <c r="J517" s="139"/>
      <c r="K517" s="145"/>
      <c r="L517" s="139"/>
      <c r="M517" s="146"/>
    </row>
    <row r="518" spans="1:13" s="4" customFormat="1" ht="35.1" customHeight="1" x14ac:dyDescent="0.3">
      <c r="A518" s="21"/>
      <c r="B518" s="22"/>
      <c r="C518" s="23"/>
      <c r="D518" s="24" t="s">
        <v>382</v>
      </c>
      <c r="E518" s="72">
        <v>1</v>
      </c>
      <c r="F518" s="64" t="s">
        <v>69</v>
      </c>
      <c r="G518" s="27"/>
      <c r="H518" s="20"/>
      <c r="J518" s="139"/>
      <c r="K518" s="145"/>
      <c r="L518" s="139"/>
      <c r="M518" s="146"/>
    </row>
    <row r="519" spans="1:13" s="4" customFormat="1" ht="35.1" customHeight="1" x14ac:dyDescent="0.3">
      <c r="A519" s="21"/>
      <c r="B519" s="22"/>
      <c r="C519" s="23"/>
      <c r="D519" s="121" t="s">
        <v>18</v>
      </c>
      <c r="E519" s="251">
        <f>SUM(E517:E518)</f>
        <v>2</v>
      </c>
      <c r="F519" s="252" t="s">
        <v>69</v>
      </c>
      <c r="G519" s="27"/>
      <c r="H519" s="20"/>
      <c r="J519" s="139"/>
      <c r="K519" s="145"/>
      <c r="L519" s="139"/>
      <c r="M519" s="146"/>
    </row>
    <row r="520" spans="1:13" s="4" customFormat="1" ht="35.1" customHeight="1" x14ac:dyDescent="0.3">
      <c r="A520" s="21"/>
      <c r="B520" s="22"/>
      <c r="C520" s="23"/>
      <c r="D520" s="24"/>
      <c r="E520" s="72"/>
      <c r="F520" s="64"/>
      <c r="G520" s="27"/>
      <c r="H520" s="20"/>
      <c r="J520" s="139"/>
      <c r="K520" s="145"/>
      <c r="L520" s="139"/>
      <c r="M520" s="146"/>
    </row>
    <row r="521" spans="1:13" s="4" customFormat="1" ht="35.1" customHeight="1" x14ac:dyDescent="0.3">
      <c r="A521" s="13">
        <v>113</v>
      </c>
      <c r="B521" s="14" t="s">
        <v>12</v>
      </c>
      <c r="C521" s="195" t="s">
        <v>211</v>
      </c>
      <c r="D521" s="16" t="s">
        <v>385</v>
      </c>
      <c r="E521" s="65">
        <f>E524</f>
        <v>2</v>
      </c>
      <c r="F521" s="74" t="s">
        <v>69</v>
      </c>
      <c r="G521" s="19"/>
      <c r="H521" s="20">
        <f t="shared" si="21"/>
        <v>0</v>
      </c>
      <c r="J521" s="139"/>
      <c r="K521" s="145">
        <f t="shared" si="20"/>
        <v>0</v>
      </c>
      <c r="L521" s="139"/>
      <c r="M521" s="146"/>
    </row>
    <row r="522" spans="1:13" s="4" customFormat="1" ht="35.1" customHeight="1" x14ac:dyDescent="0.3">
      <c r="A522" s="21"/>
      <c r="B522" s="22"/>
      <c r="C522" s="23"/>
      <c r="D522" s="24" t="s">
        <v>383</v>
      </c>
      <c r="E522" s="72">
        <v>1</v>
      </c>
      <c r="F522" s="64" t="s">
        <v>69</v>
      </c>
      <c r="G522" s="27"/>
      <c r="H522" s="20"/>
      <c r="J522" s="139"/>
      <c r="K522" s="145"/>
      <c r="L522" s="139"/>
      <c r="M522" s="146"/>
    </row>
    <row r="523" spans="1:13" s="4" customFormat="1" ht="35.1" customHeight="1" x14ac:dyDescent="0.3">
      <c r="A523" s="21"/>
      <c r="B523" s="22"/>
      <c r="C523" s="23"/>
      <c r="D523" s="24" t="s">
        <v>538</v>
      </c>
      <c r="E523" s="72">
        <v>1</v>
      </c>
      <c r="F523" s="64" t="s">
        <v>69</v>
      </c>
      <c r="G523" s="27"/>
      <c r="H523" s="20"/>
      <c r="J523" s="139"/>
      <c r="K523" s="145"/>
      <c r="L523" s="139"/>
      <c r="M523" s="146"/>
    </row>
    <row r="524" spans="1:13" s="4" customFormat="1" ht="35.1" customHeight="1" x14ac:dyDescent="0.3">
      <c r="A524" s="21"/>
      <c r="B524" s="22"/>
      <c r="C524" s="23"/>
      <c r="D524" s="121" t="s">
        <v>18</v>
      </c>
      <c r="E524" s="251">
        <f>SUM(E522:E523)</f>
        <v>2</v>
      </c>
      <c r="F524" s="252" t="s">
        <v>69</v>
      </c>
      <c r="G524" s="27"/>
      <c r="H524" s="20"/>
      <c r="J524" s="139"/>
      <c r="K524" s="145"/>
      <c r="L524" s="139"/>
      <c r="M524" s="146"/>
    </row>
    <row r="525" spans="1:13" s="4" customFormat="1" ht="35.1" customHeight="1" x14ac:dyDescent="0.3">
      <c r="A525" s="21"/>
      <c r="B525" s="22"/>
      <c r="C525" s="23"/>
      <c r="D525" s="24"/>
      <c r="E525" s="72"/>
      <c r="F525" s="64"/>
      <c r="G525" s="27"/>
      <c r="H525" s="20"/>
      <c r="J525" s="139"/>
      <c r="K525" s="145"/>
      <c r="L525" s="139"/>
      <c r="M525" s="146"/>
    </row>
    <row r="526" spans="1:13" s="4" customFormat="1" ht="35.1" customHeight="1" x14ac:dyDescent="0.3">
      <c r="A526" s="36">
        <v>114</v>
      </c>
      <c r="B526" s="37" t="s">
        <v>47</v>
      </c>
      <c r="C526" s="175" t="s">
        <v>98</v>
      </c>
      <c r="D526" s="176" t="s">
        <v>380</v>
      </c>
      <c r="E526" s="73">
        <v>1</v>
      </c>
      <c r="F526" s="75" t="s">
        <v>147</v>
      </c>
      <c r="G526" s="42"/>
      <c r="H526" s="43">
        <f t="shared" si="21"/>
        <v>0</v>
      </c>
      <c r="J526" s="139"/>
      <c r="K526" s="145">
        <f t="shared" si="20"/>
        <v>0</v>
      </c>
      <c r="L526" s="139"/>
      <c r="M526" s="146"/>
    </row>
    <row r="527" spans="1:13" s="4" customFormat="1" ht="35.1" customHeight="1" x14ac:dyDescent="0.3">
      <c r="A527" s="36"/>
      <c r="B527" s="37"/>
      <c r="C527" s="175"/>
      <c r="D527" s="176"/>
      <c r="E527" s="73"/>
      <c r="F527" s="75"/>
      <c r="G527" s="42"/>
      <c r="H527" s="43"/>
      <c r="J527" s="139"/>
      <c r="K527" s="145"/>
      <c r="L527" s="139"/>
      <c r="M527" s="146"/>
    </row>
    <row r="528" spans="1:13" s="4" customFormat="1" ht="35.1" customHeight="1" x14ac:dyDescent="0.3">
      <c r="A528" s="36">
        <v>115</v>
      </c>
      <c r="B528" s="37" t="s">
        <v>47</v>
      </c>
      <c r="C528" s="175" t="s">
        <v>611</v>
      </c>
      <c r="D528" s="176" t="s">
        <v>539</v>
      </c>
      <c r="E528" s="73">
        <v>1</v>
      </c>
      <c r="F528" s="75" t="s">
        <v>147</v>
      </c>
      <c r="G528" s="42"/>
      <c r="H528" s="43">
        <f t="shared" si="21"/>
        <v>0</v>
      </c>
      <c r="J528" s="139"/>
      <c r="K528" s="145"/>
      <c r="L528" s="139"/>
      <c r="M528" s="146"/>
    </row>
    <row r="529" spans="1:13" s="4" customFormat="1" ht="35.1" customHeight="1" x14ac:dyDescent="0.3">
      <c r="A529" s="36"/>
      <c r="B529" s="37"/>
      <c r="C529" s="175"/>
      <c r="D529" s="176"/>
      <c r="E529" s="73"/>
      <c r="F529" s="75"/>
      <c r="G529" s="42"/>
      <c r="H529" s="43"/>
      <c r="J529" s="139"/>
      <c r="K529" s="145"/>
      <c r="L529" s="139"/>
      <c r="M529" s="146"/>
    </row>
    <row r="530" spans="1:13" s="4" customFormat="1" ht="35.1" customHeight="1" x14ac:dyDescent="0.3">
      <c r="A530" s="36">
        <v>116</v>
      </c>
      <c r="B530" s="37" t="s">
        <v>47</v>
      </c>
      <c r="C530" s="175" t="s">
        <v>612</v>
      </c>
      <c r="D530" s="176" t="s">
        <v>540</v>
      </c>
      <c r="E530" s="73">
        <v>2</v>
      </c>
      <c r="F530" s="75" t="s">
        <v>147</v>
      </c>
      <c r="G530" s="42"/>
      <c r="H530" s="43">
        <f t="shared" si="21"/>
        <v>0</v>
      </c>
      <c r="J530" s="139"/>
      <c r="K530" s="145">
        <f t="shared" ref="K530:K579" si="22">E530*J530</f>
        <v>0</v>
      </c>
      <c r="L530" s="139"/>
      <c r="M530" s="146"/>
    </row>
    <row r="531" spans="1:13" s="4" customFormat="1" ht="35.1" customHeight="1" x14ac:dyDescent="0.3">
      <c r="A531" s="36"/>
      <c r="B531" s="37"/>
      <c r="C531" s="175"/>
      <c r="D531" s="176"/>
      <c r="E531" s="73"/>
      <c r="F531" s="75"/>
      <c r="G531" s="42"/>
      <c r="H531" s="43"/>
      <c r="J531" s="139"/>
      <c r="K531" s="145"/>
      <c r="L531" s="139"/>
      <c r="M531" s="146"/>
    </row>
    <row r="532" spans="1:13" s="4" customFormat="1" ht="35.1" customHeight="1" x14ac:dyDescent="0.3">
      <c r="A532" s="36">
        <v>117</v>
      </c>
      <c r="B532" s="37" t="s">
        <v>47</v>
      </c>
      <c r="C532" s="38" t="s">
        <v>632</v>
      </c>
      <c r="D532" s="39" t="s">
        <v>541</v>
      </c>
      <c r="E532" s="73">
        <v>2</v>
      </c>
      <c r="F532" s="75" t="s">
        <v>147</v>
      </c>
      <c r="G532" s="42"/>
      <c r="H532" s="43">
        <f t="shared" si="21"/>
        <v>0</v>
      </c>
      <c r="J532" s="139"/>
      <c r="K532" s="145">
        <f t="shared" si="22"/>
        <v>0</v>
      </c>
      <c r="L532" s="139"/>
      <c r="M532" s="146"/>
    </row>
    <row r="533" spans="1:13" s="4" customFormat="1" ht="35.1" customHeight="1" x14ac:dyDescent="0.3">
      <c r="A533" s="36"/>
      <c r="B533" s="37"/>
      <c r="C533" s="38"/>
      <c r="D533" s="39"/>
      <c r="E533" s="73"/>
      <c r="F533" s="75"/>
      <c r="G533" s="42"/>
      <c r="H533" s="20"/>
      <c r="J533" s="139"/>
      <c r="K533" s="145"/>
      <c r="L533" s="139"/>
      <c r="M533" s="146"/>
    </row>
    <row r="534" spans="1:13" s="4" customFormat="1" ht="35.1" customHeight="1" x14ac:dyDescent="0.3">
      <c r="A534" s="36">
        <v>118</v>
      </c>
      <c r="B534" s="37" t="s">
        <v>47</v>
      </c>
      <c r="C534" s="38" t="s">
        <v>633</v>
      </c>
      <c r="D534" s="39" t="s">
        <v>542</v>
      </c>
      <c r="E534" s="73">
        <v>2</v>
      </c>
      <c r="F534" s="75" t="s">
        <v>147</v>
      </c>
      <c r="G534" s="42"/>
      <c r="H534" s="43">
        <f t="shared" si="21"/>
        <v>0</v>
      </c>
      <c r="J534" s="139"/>
      <c r="K534" s="145">
        <f t="shared" si="22"/>
        <v>0</v>
      </c>
      <c r="L534" s="139"/>
      <c r="M534" s="146"/>
    </row>
    <row r="535" spans="1:13" s="4" customFormat="1" ht="35.1" customHeight="1" x14ac:dyDescent="0.3">
      <c r="A535" s="103"/>
      <c r="B535" s="104"/>
      <c r="C535" s="105"/>
      <c r="D535" s="106"/>
      <c r="E535" s="116"/>
      <c r="F535" s="117"/>
      <c r="G535" s="109"/>
      <c r="H535" s="20"/>
      <c r="J535" s="139"/>
      <c r="K535" s="145"/>
      <c r="L535" s="139"/>
      <c r="M535" s="146"/>
    </row>
    <row r="536" spans="1:13" s="4" customFormat="1" ht="35.1" customHeight="1" x14ac:dyDescent="0.3">
      <c r="A536" s="13">
        <v>119</v>
      </c>
      <c r="B536" s="14" t="s">
        <v>12</v>
      </c>
      <c r="C536" s="15" t="s">
        <v>152</v>
      </c>
      <c r="D536" s="16" t="s">
        <v>153</v>
      </c>
      <c r="E536" s="65">
        <v>2</v>
      </c>
      <c r="F536" s="74" t="s">
        <v>69</v>
      </c>
      <c r="G536" s="19"/>
      <c r="H536" s="20">
        <f t="shared" si="21"/>
        <v>0</v>
      </c>
      <c r="J536" s="139"/>
      <c r="K536" s="145">
        <f t="shared" si="22"/>
        <v>0</v>
      </c>
      <c r="L536" s="139"/>
      <c r="M536" s="146"/>
    </row>
    <row r="537" spans="1:13" s="4" customFormat="1" ht="35.1" customHeight="1" x14ac:dyDescent="0.3">
      <c r="A537" s="21"/>
      <c r="B537" s="22"/>
      <c r="C537" s="23"/>
      <c r="D537" s="24"/>
      <c r="E537" s="72"/>
      <c r="F537" s="64"/>
      <c r="G537" s="27"/>
      <c r="H537" s="20"/>
      <c r="J537" s="139"/>
      <c r="K537" s="145"/>
      <c r="L537" s="139"/>
      <c r="M537" s="146"/>
    </row>
    <row r="538" spans="1:13" s="4" customFormat="1" ht="35.1" customHeight="1" x14ac:dyDescent="0.3">
      <c r="A538" s="36">
        <v>120</v>
      </c>
      <c r="B538" s="37" t="s">
        <v>47</v>
      </c>
      <c r="C538" s="38" t="s">
        <v>212</v>
      </c>
      <c r="D538" s="39" t="s">
        <v>187</v>
      </c>
      <c r="E538" s="73">
        <v>2</v>
      </c>
      <c r="F538" s="75" t="s">
        <v>147</v>
      </c>
      <c r="G538" s="42"/>
      <c r="H538" s="43">
        <f t="shared" si="21"/>
        <v>0</v>
      </c>
      <c r="J538" s="139">
        <f>610/1000</f>
        <v>0.61</v>
      </c>
      <c r="K538" s="145">
        <f t="shared" si="22"/>
        <v>1.22</v>
      </c>
      <c r="L538" s="139"/>
      <c r="M538" s="146"/>
    </row>
    <row r="539" spans="1:13" s="4" customFormat="1" ht="35.1" customHeight="1" x14ac:dyDescent="0.3">
      <c r="A539" s="36"/>
      <c r="B539" s="37"/>
      <c r="C539" s="38"/>
      <c r="D539" s="24" t="s">
        <v>384</v>
      </c>
      <c r="E539" s="72">
        <v>1</v>
      </c>
      <c r="F539" s="64" t="s">
        <v>69</v>
      </c>
      <c r="G539" s="42"/>
      <c r="H539" s="20"/>
      <c r="J539" s="139"/>
      <c r="K539" s="145"/>
      <c r="L539" s="139"/>
      <c r="M539" s="146"/>
    </row>
    <row r="540" spans="1:13" s="4" customFormat="1" ht="35.1" customHeight="1" x14ac:dyDescent="0.3">
      <c r="A540" s="36"/>
      <c r="B540" s="37"/>
      <c r="C540" s="38"/>
      <c r="D540" s="24" t="s">
        <v>382</v>
      </c>
      <c r="E540" s="72">
        <v>1</v>
      </c>
      <c r="F540" s="64" t="s">
        <v>69</v>
      </c>
      <c r="G540" s="42"/>
      <c r="H540" s="20"/>
      <c r="J540" s="139"/>
      <c r="K540" s="145"/>
      <c r="L540" s="139"/>
      <c r="M540" s="146"/>
    </row>
    <row r="541" spans="1:13" s="4" customFormat="1" ht="35.1" customHeight="1" x14ac:dyDescent="0.3">
      <c r="A541" s="36"/>
      <c r="B541" s="37"/>
      <c r="C541" s="38"/>
      <c r="D541" s="121" t="s">
        <v>18</v>
      </c>
      <c r="E541" s="251">
        <f>SUM(E539:E540)</f>
        <v>2</v>
      </c>
      <c r="F541" s="252" t="s">
        <v>69</v>
      </c>
      <c r="G541" s="42"/>
      <c r="H541" s="20"/>
      <c r="J541" s="139"/>
      <c r="K541" s="145"/>
      <c r="L541" s="139"/>
      <c r="M541" s="146"/>
    </row>
    <row r="542" spans="1:13" s="4" customFormat="1" ht="35.1" customHeight="1" x14ac:dyDescent="0.3">
      <c r="A542" s="21"/>
      <c r="B542" s="22"/>
      <c r="C542" s="23"/>
      <c r="D542" s="24"/>
      <c r="E542" s="72"/>
      <c r="F542" s="64"/>
      <c r="G542" s="27"/>
      <c r="H542" s="20"/>
      <c r="J542" s="139"/>
      <c r="K542" s="145"/>
      <c r="L542" s="139"/>
      <c r="M542" s="146"/>
    </row>
    <row r="543" spans="1:13" s="4" customFormat="1" ht="35.1" customHeight="1" x14ac:dyDescent="0.3">
      <c r="A543" s="13">
        <v>121</v>
      </c>
      <c r="B543" s="14" t="s">
        <v>12</v>
      </c>
      <c r="C543" s="15" t="s">
        <v>154</v>
      </c>
      <c r="D543" s="16" t="s">
        <v>155</v>
      </c>
      <c r="E543" s="65">
        <f>E547+E552</f>
        <v>3</v>
      </c>
      <c r="F543" s="74" t="s">
        <v>69</v>
      </c>
      <c r="G543" s="19"/>
      <c r="H543" s="20">
        <f t="shared" si="21"/>
        <v>0</v>
      </c>
      <c r="J543" s="139"/>
      <c r="K543" s="145">
        <f t="shared" si="22"/>
        <v>0</v>
      </c>
      <c r="L543" s="139"/>
      <c r="M543" s="146"/>
    </row>
    <row r="544" spans="1:13" s="4" customFormat="1" ht="35.1" customHeight="1" x14ac:dyDescent="0.3">
      <c r="A544" s="21"/>
      <c r="B544" s="22"/>
      <c r="C544" s="23"/>
      <c r="D544" s="24"/>
      <c r="E544" s="72"/>
      <c r="F544" s="64"/>
      <c r="G544" s="27"/>
      <c r="H544" s="20"/>
      <c r="J544" s="139"/>
      <c r="K544" s="145"/>
      <c r="L544" s="139"/>
      <c r="M544" s="146"/>
    </row>
    <row r="545" spans="1:13" s="4" customFormat="1" ht="35.1" customHeight="1" x14ac:dyDescent="0.3">
      <c r="A545" s="36">
        <v>122</v>
      </c>
      <c r="B545" s="37" t="s">
        <v>47</v>
      </c>
      <c r="C545" s="38" t="s">
        <v>156</v>
      </c>
      <c r="D545" s="39" t="s">
        <v>157</v>
      </c>
      <c r="E545" s="73">
        <v>5</v>
      </c>
      <c r="F545" s="75" t="s">
        <v>69</v>
      </c>
      <c r="G545" s="42"/>
      <c r="H545" s="43">
        <f t="shared" si="21"/>
        <v>0</v>
      </c>
      <c r="J545" s="139">
        <v>1E-3</v>
      </c>
      <c r="K545" s="145">
        <f t="shared" si="22"/>
        <v>5.0000000000000001E-3</v>
      </c>
      <c r="L545" s="139"/>
      <c r="M545" s="146"/>
    </row>
    <row r="546" spans="1:13" s="4" customFormat="1" ht="35.1" customHeight="1" x14ac:dyDescent="0.3">
      <c r="A546" s="21"/>
      <c r="B546" s="22"/>
      <c r="C546" s="23"/>
      <c r="D546" s="24"/>
      <c r="E546" s="72"/>
      <c r="F546" s="64"/>
      <c r="G546" s="27"/>
      <c r="H546" s="43"/>
      <c r="J546" s="139"/>
      <c r="K546" s="145"/>
      <c r="L546" s="139"/>
      <c r="M546" s="146"/>
    </row>
    <row r="547" spans="1:13" s="4" customFormat="1" ht="35.1" customHeight="1" x14ac:dyDescent="0.3">
      <c r="A547" s="36">
        <v>123</v>
      </c>
      <c r="B547" s="37" t="s">
        <v>47</v>
      </c>
      <c r="C547" s="38" t="s">
        <v>213</v>
      </c>
      <c r="D547" s="39" t="s">
        <v>188</v>
      </c>
      <c r="E547" s="73">
        <f>E550</f>
        <v>1</v>
      </c>
      <c r="F547" s="75" t="s">
        <v>69</v>
      </c>
      <c r="G547" s="42"/>
      <c r="H547" s="43">
        <f t="shared" si="21"/>
        <v>0</v>
      </c>
      <c r="J547" s="139">
        <f>24/1000</f>
        <v>2.4E-2</v>
      </c>
      <c r="K547" s="145">
        <f t="shared" si="22"/>
        <v>2.4E-2</v>
      </c>
      <c r="L547" s="139"/>
      <c r="M547" s="146"/>
    </row>
    <row r="548" spans="1:13" s="4" customFormat="1" ht="35.1" customHeight="1" x14ac:dyDescent="0.3">
      <c r="A548" s="36"/>
      <c r="B548" s="37"/>
      <c r="C548" s="38"/>
      <c r="D548" s="24" t="s">
        <v>511</v>
      </c>
      <c r="E548" s="72">
        <v>0</v>
      </c>
      <c r="F548" s="64" t="s">
        <v>69</v>
      </c>
      <c r="G548" s="42"/>
      <c r="H548" s="43"/>
      <c r="J548" s="139"/>
      <c r="K548" s="145"/>
      <c r="L548" s="139"/>
      <c r="M548" s="146"/>
    </row>
    <row r="549" spans="1:13" s="4" customFormat="1" ht="35.1" customHeight="1" x14ac:dyDescent="0.3">
      <c r="A549" s="36"/>
      <c r="B549" s="37"/>
      <c r="C549" s="38"/>
      <c r="D549" s="24" t="s">
        <v>382</v>
      </c>
      <c r="E549" s="72">
        <v>1</v>
      </c>
      <c r="F549" s="64" t="s">
        <v>69</v>
      </c>
      <c r="G549" s="42"/>
      <c r="H549" s="43"/>
      <c r="J549" s="139"/>
      <c r="K549" s="145"/>
      <c r="L549" s="139"/>
      <c r="M549" s="146"/>
    </row>
    <row r="550" spans="1:13" s="4" customFormat="1" ht="35.1" customHeight="1" x14ac:dyDescent="0.3">
      <c r="A550" s="36"/>
      <c r="B550" s="37"/>
      <c r="C550" s="38"/>
      <c r="D550" s="121" t="s">
        <v>18</v>
      </c>
      <c r="E550" s="251">
        <f>SUM(E548:E549)</f>
        <v>1</v>
      </c>
      <c r="F550" s="252" t="s">
        <v>69</v>
      </c>
      <c r="G550" s="42"/>
      <c r="H550" s="43"/>
      <c r="J550" s="139"/>
      <c r="K550" s="145"/>
      <c r="L550" s="139"/>
      <c r="M550" s="146"/>
    </row>
    <row r="551" spans="1:13" s="4" customFormat="1" ht="35.1" customHeight="1" x14ac:dyDescent="0.3">
      <c r="A551" s="36"/>
      <c r="B551" s="37"/>
      <c r="C551" s="38"/>
      <c r="D551" s="39"/>
      <c r="E551" s="73"/>
      <c r="F551" s="75"/>
      <c r="G551" s="42"/>
      <c r="H551" s="43"/>
      <c r="J551" s="139"/>
      <c r="K551" s="145"/>
      <c r="L551" s="139"/>
      <c r="M551" s="146"/>
    </row>
    <row r="552" spans="1:13" s="4" customFormat="1" ht="35.1" customHeight="1" x14ac:dyDescent="0.3">
      <c r="A552" s="36">
        <v>124</v>
      </c>
      <c r="B552" s="37" t="s">
        <v>47</v>
      </c>
      <c r="C552" s="38" t="s">
        <v>290</v>
      </c>
      <c r="D552" s="39" t="s">
        <v>289</v>
      </c>
      <c r="E552" s="73">
        <f>E555</f>
        <v>2</v>
      </c>
      <c r="F552" s="75" t="s">
        <v>69</v>
      </c>
      <c r="G552" s="42"/>
      <c r="H552" s="43">
        <f t="shared" si="21"/>
        <v>0</v>
      </c>
      <c r="J552" s="139">
        <f>68/1000</f>
        <v>6.8000000000000005E-2</v>
      </c>
      <c r="K552" s="145">
        <f t="shared" si="22"/>
        <v>0.13600000000000001</v>
      </c>
      <c r="L552" s="139"/>
      <c r="M552" s="146"/>
    </row>
    <row r="553" spans="1:13" s="4" customFormat="1" ht="35.1" customHeight="1" x14ac:dyDescent="0.3">
      <c r="A553" s="36"/>
      <c r="B553" s="37"/>
      <c r="C553" s="38"/>
      <c r="D553" s="24" t="s">
        <v>512</v>
      </c>
      <c r="E553" s="72">
        <v>1</v>
      </c>
      <c r="F553" s="64" t="s">
        <v>69</v>
      </c>
      <c r="G553" s="42"/>
      <c r="H553" s="20"/>
      <c r="J553" s="139"/>
      <c r="K553" s="145"/>
      <c r="L553" s="139"/>
      <c r="M553" s="146"/>
    </row>
    <row r="554" spans="1:13" s="4" customFormat="1" ht="35.1" customHeight="1" x14ac:dyDescent="0.3">
      <c r="A554" s="36"/>
      <c r="B554" s="37"/>
      <c r="C554" s="38"/>
      <c r="D554" s="24" t="s">
        <v>543</v>
      </c>
      <c r="E554" s="72">
        <v>1</v>
      </c>
      <c r="F554" s="64" t="s">
        <v>69</v>
      </c>
      <c r="G554" s="42"/>
      <c r="H554" s="20"/>
      <c r="J554" s="139"/>
      <c r="K554" s="145"/>
      <c r="L554" s="139"/>
      <c r="M554" s="146"/>
    </row>
    <row r="555" spans="1:13" s="4" customFormat="1" ht="35.1" customHeight="1" x14ac:dyDescent="0.3">
      <c r="A555" s="36"/>
      <c r="B555" s="37"/>
      <c r="C555" s="38"/>
      <c r="D555" s="121" t="s">
        <v>18</v>
      </c>
      <c r="E555" s="251">
        <f>SUM(E553:E554)</f>
        <v>2</v>
      </c>
      <c r="F555" s="252" t="s">
        <v>69</v>
      </c>
      <c r="G555" s="42"/>
      <c r="H555" s="20"/>
      <c r="J555" s="139"/>
      <c r="K555" s="145"/>
      <c r="L555" s="139"/>
      <c r="M555" s="146"/>
    </row>
    <row r="556" spans="1:13" s="4" customFormat="1" ht="35.1" customHeight="1" x14ac:dyDescent="0.3">
      <c r="A556" s="21"/>
      <c r="B556" s="22"/>
      <c r="C556" s="23"/>
      <c r="D556" s="24"/>
      <c r="E556" s="72"/>
      <c r="F556" s="64"/>
      <c r="G556" s="27"/>
      <c r="H556" s="20"/>
      <c r="J556" s="139"/>
      <c r="K556" s="145"/>
      <c r="L556" s="139"/>
      <c r="M556" s="146"/>
    </row>
    <row r="557" spans="1:13" s="4" customFormat="1" ht="35.1" customHeight="1" x14ac:dyDescent="0.3">
      <c r="A557" s="13">
        <v>125</v>
      </c>
      <c r="B557" s="14" t="s">
        <v>12</v>
      </c>
      <c r="C557" s="15" t="s">
        <v>158</v>
      </c>
      <c r="D557" s="16" t="s">
        <v>159</v>
      </c>
      <c r="E557" s="65">
        <v>4</v>
      </c>
      <c r="F557" s="74" t="s">
        <v>69</v>
      </c>
      <c r="G557" s="19"/>
      <c r="H557" s="20">
        <f t="shared" si="21"/>
        <v>0</v>
      </c>
      <c r="J557" s="139"/>
      <c r="K557" s="145">
        <f t="shared" si="22"/>
        <v>0</v>
      </c>
      <c r="L557" s="139"/>
      <c r="M557" s="146"/>
    </row>
    <row r="558" spans="1:13" s="4" customFormat="1" ht="35.1" customHeight="1" x14ac:dyDescent="0.3">
      <c r="A558" s="21"/>
      <c r="B558" s="22"/>
      <c r="C558" s="23"/>
      <c r="D558" s="24"/>
      <c r="E558" s="72"/>
      <c r="F558" s="64"/>
      <c r="G558" s="27"/>
      <c r="H558" s="20"/>
      <c r="J558" s="139"/>
      <c r="K558" s="145"/>
      <c r="L558" s="139"/>
      <c r="M558" s="146"/>
    </row>
    <row r="559" spans="1:13" s="4" customFormat="1" ht="35.1" customHeight="1" x14ac:dyDescent="0.3">
      <c r="A559" s="36">
        <v>126</v>
      </c>
      <c r="B559" s="37" t="s">
        <v>47</v>
      </c>
      <c r="C559" s="38" t="s">
        <v>160</v>
      </c>
      <c r="D559" s="39" t="s">
        <v>161</v>
      </c>
      <c r="E559" s="73">
        <v>2</v>
      </c>
      <c r="F559" s="75" t="s">
        <v>69</v>
      </c>
      <c r="G559" s="42"/>
      <c r="H559" s="43">
        <f t="shared" si="21"/>
        <v>0</v>
      </c>
      <c r="J559" s="139">
        <f>154/1000</f>
        <v>0.154</v>
      </c>
      <c r="K559" s="145">
        <f t="shared" si="22"/>
        <v>0.308</v>
      </c>
      <c r="L559" s="139"/>
      <c r="M559" s="146"/>
    </row>
    <row r="560" spans="1:13" s="4" customFormat="1" ht="35.1" customHeight="1" x14ac:dyDescent="0.3">
      <c r="A560" s="21"/>
      <c r="B560" s="22"/>
      <c r="C560" s="23"/>
      <c r="D560" s="24"/>
      <c r="E560" s="72"/>
      <c r="F560" s="64"/>
      <c r="G560" s="27"/>
      <c r="H560" s="43"/>
      <c r="J560" s="139"/>
      <c r="K560" s="145"/>
      <c r="L560" s="139"/>
      <c r="M560" s="146"/>
    </row>
    <row r="561" spans="1:13" s="4" customFormat="1" ht="35.1" customHeight="1" x14ac:dyDescent="0.3">
      <c r="A561" s="36">
        <v>127</v>
      </c>
      <c r="B561" s="37" t="s">
        <v>47</v>
      </c>
      <c r="C561" s="38" t="s">
        <v>214</v>
      </c>
      <c r="D561" s="39" t="s">
        <v>189</v>
      </c>
      <c r="E561" s="73">
        <v>2</v>
      </c>
      <c r="F561" s="75" t="s">
        <v>69</v>
      </c>
      <c r="G561" s="42"/>
      <c r="H561" s="43">
        <f t="shared" si="21"/>
        <v>0</v>
      </c>
      <c r="J561" s="139">
        <f>156/1000</f>
        <v>0.156</v>
      </c>
      <c r="K561" s="145">
        <f t="shared" si="22"/>
        <v>0.312</v>
      </c>
      <c r="L561" s="139"/>
      <c r="M561" s="146"/>
    </row>
    <row r="562" spans="1:13" s="4" customFormat="1" ht="35.1" customHeight="1" x14ac:dyDescent="0.3">
      <c r="A562" s="36"/>
      <c r="B562" s="37"/>
      <c r="C562" s="38"/>
      <c r="D562" s="24"/>
      <c r="E562" s="72"/>
      <c r="F562" s="64"/>
      <c r="G562" s="42"/>
      <c r="H562" s="20"/>
      <c r="J562" s="139"/>
      <c r="K562" s="145"/>
      <c r="L562" s="139"/>
      <c r="M562" s="146"/>
    </row>
    <row r="563" spans="1:13" s="4" customFormat="1" ht="35.1" customHeight="1" x14ac:dyDescent="0.3">
      <c r="A563" s="13">
        <v>128</v>
      </c>
      <c r="B563" s="14" t="s">
        <v>12</v>
      </c>
      <c r="C563" s="15" t="s">
        <v>386</v>
      </c>
      <c r="D563" s="16" t="s">
        <v>387</v>
      </c>
      <c r="E563" s="65">
        <v>2</v>
      </c>
      <c r="F563" s="74" t="s">
        <v>69</v>
      </c>
      <c r="G563" s="19"/>
      <c r="H563" s="20">
        <f t="shared" ref="H563:H592" si="23">E563*G563</f>
        <v>0</v>
      </c>
      <c r="J563" s="139"/>
      <c r="K563" s="145">
        <f t="shared" si="22"/>
        <v>0</v>
      </c>
      <c r="L563" s="139"/>
      <c r="M563" s="146"/>
    </row>
    <row r="564" spans="1:13" s="4" customFormat="1" ht="35.1" customHeight="1" x14ac:dyDescent="0.3">
      <c r="A564" s="13"/>
      <c r="B564" s="22"/>
      <c r="C564" s="23"/>
      <c r="D564" s="24"/>
      <c r="E564" s="72"/>
      <c r="F564" s="64"/>
      <c r="G564" s="27"/>
      <c r="H564" s="20"/>
      <c r="J564" s="139"/>
      <c r="K564" s="145"/>
      <c r="L564" s="139"/>
      <c r="M564" s="146"/>
    </row>
    <row r="565" spans="1:13" s="4" customFormat="1" ht="35.1" customHeight="1" x14ac:dyDescent="0.3">
      <c r="A565" s="36">
        <v>129</v>
      </c>
      <c r="B565" s="37" t="s">
        <v>47</v>
      </c>
      <c r="C565" s="38" t="s">
        <v>388</v>
      </c>
      <c r="D565" s="39" t="s">
        <v>389</v>
      </c>
      <c r="E565" s="73">
        <v>2</v>
      </c>
      <c r="F565" s="75" t="s">
        <v>69</v>
      </c>
      <c r="G565" s="42"/>
      <c r="H565" s="43">
        <f t="shared" si="23"/>
        <v>0</v>
      </c>
      <c r="J565" s="139">
        <f>0.057</f>
        <v>5.7000000000000002E-2</v>
      </c>
      <c r="K565" s="145">
        <f t="shared" si="22"/>
        <v>0.114</v>
      </c>
      <c r="L565" s="139"/>
      <c r="M565" s="146"/>
    </row>
    <row r="566" spans="1:13" s="4" customFormat="1" ht="35.1" customHeight="1" x14ac:dyDescent="0.3">
      <c r="A566" s="36"/>
      <c r="B566" s="22"/>
      <c r="C566" s="23"/>
      <c r="D566" s="24"/>
      <c r="E566" s="72"/>
      <c r="F566" s="64"/>
      <c r="G566" s="27"/>
      <c r="H566" s="28"/>
      <c r="J566" s="139"/>
      <c r="K566" s="145"/>
      <c r="L566" s="139"/>
      <c r="M566" s="146"/>
    </row>
    <row r="567" spans="1:13" s="4" customFormat="1" ht="35.1" customHeight="1" x14ac:dyDescent="0.3">
      <c r="A567" s="36">
        <v>130</v>
      </c>
      <c r="B567" s="37" t="s">
        <v>47</v>
      </c>
      <c r="C567" s="38" t="s">
        <v>390</v>
      </c>
      <c r="D567" s="39" t="s">
        <v>391</v>
      </c>
      <c r="E567" s="73">
        <v>2</v>
      </c>
      <c r="F567" s="75" t="s">
        <v>69</v>
      </c>
      <c r="G567" s="42"/>
      <c r="H567" s="43">
        <f t="shared" si="23"/>
        <v>0</v>
      </c>
      <c r="J567" s="139">
        <f>57/1000</f>
        <v>5.7000000000000002E-2</v>
      </c>
      <c r="K567" s="145">
        <f t="shared" si="22"/>
        <v>0.114</v>
      </c>
      <c r="L567" s="139"/>
      <c r="M567" s="146"/>
    </row>
    <row r="568" spans="1:13" s="4" customFormat="1" ht="35.1" customHeight="1" x14ac:dyDescent="0.3">
      <c r="A568" s="36"/>
      <c r="B568" s="22"/>
      <c r="C568" s="23"/>
      <c r="D568" s="24"/>
      <c r="E568" s="72"/>
      <c r="F568" s="64"/>
      <c r="G568" s="27"/>
      <c r="H568" s="28"/>
      <c r="J568" s="139"/>
      <c r="K568" s="145"/>
      <c r="L568" s="139"/>
      <c r="M568" s="146"/>
    </row>
    <row r="569" spans="1:13" s="4" customFormat="1" ht="35.1" customHeight="1" x14ac:dyDescent="0.3">
      <c r="A569" s="36">
        <v>131</v>
      </c>
      <c r="B569" s="37" t="s">
        <v>47</v>
      </c>
      <c r="C569" s="38" t="s">
        <v>392</v>
      </c>
      <c r="D569" s="39" t="s">
        <v>393</v>
      </c>
      <c r="E569" s="73">
        <v>2</v>
      </c>
      <c r="F569" s="75" t="s">
        <v>69</v>
      </c>
      <c r="G569" s="42"/>
      <c r="H569" s="43">
        <f t="shared" si="23"/>
        <v>0</v>
      </c>
      <c r="J569" s="139">
        <f>111/1000</f>
        <v>0.111</v>
      </c>
      <c r="K569" s="145">
        <f t="shared" si="22"/>
        <v>0.222</v>
      </c>
      <c r="L569" s="139"/>
      <c r="M569" s="146"/>
    </row>
    <row r="570" spans="1:13" s="4" customFormat="1" ht="35.1" customHeight="1" x14ac:dyDescent="0.3">
      <c r="A570" s="36"/>
      <c r="B570" s="22"/>
      <c r="C570" s="23"/>
      <c r="D570" s="24"/>
      <c r="E570" s="72"/>
      <c r="F570" s="64"/>
      <c r="G570" s="27"/>
      <c r="H570" s="28"/>
      <c r="J570" s="139"/>
      <c r="K570" s="145"/>
      <c r="L570" s="139"/>
      <c r="M570" s="146"/>
    </row>
    <row r="571" spans="1:13" s="4" customFormat="1" ht="35.1" customHeight="1" x14ac:dyDescent="0.3">
      <c r="A571" s="36">
        <v>132</v>
      </c>
      <c r="B571" s="37" t="s">
        <v>47</v>
      </c>
      <c r="C571" s="38" t="s">
        <v>394</v>
      </c>
      <c r="D571" s="39" t="s">
        <v>395</v>
      </c>
      <c r="E571" s="73">
        <v>2</v>
      </c>
      <c r="F571" s="75" t="s">
        <v>69</v>
      </c>
      <c r="G571" s="42"/>
      <c r="H571" s="43">
        <f t="shared" si="23"/>
        <v>0</v>
      </c>
      <c r="J571" s="139">
        <f>27/1000</f>
        <v>2.7E-2</v>
      </c>
      <c r="K571" s="145">
        <f t="shared" si="22"/>
        <v>5.3999999999999999E-2</v>
      </c>
      <c r="L571" s="139"/>
      <c r="M571" s="146"/>
    </row>
    <row r="572" spans="1:13" s="4" customFormat="1" ht="35.1" customHeight="1" x14ac:dyDescent="0.3">
      <c r="A572" s="13"/>
      <c r="B572" s="22"/>
      <c r="C572" s="23"/>
      <c r="D572" s="24"/>
      <c r="E572" s="72"/>
      <c r="F572" s="64"/>
      <c r="G572" s="27"/>
      <c r="H572" s="28"/>
      <c r="J572" s="139"/>
      <c r="K572" s="145"/>
      <c r="L572" s="139"/>
      <c r="M572" s="146"/>
    </row>
    <row r="573" spans="1:13" s="4" customFormat="1" ht="35.1" customHeight="1" x14ac:dyDescent="0.3">
      <c r="A573" s="36">
        <v>133</v>
      </c>
      <c r="B573" s="37" t="s">
        <v>47</v>
      </c>
      <c r="C573" s="38" t="s">
        <v>396</v>
      </c>
      <c r="D573" s="39" t="s">
        <v>397</v>
      </c>
      <c r="E573" s="73">
        <v>2</v>
      </c>
      <c r="F573" s="75" t="s">
        <v>69</v>
      </c>
      <c r="G573" s="42"/>
      <c r="H573" s="43">
        <f t="shared" si="23"/>
        <v>0</v>
      </c>
      <c r="J573" s="139">
        <f>64/1000</f>
        <v>6.4000000000000001E-2</v>
      </c>
      <c r="K573" s="145">
        <f t="shared" si="22"/>
        <v>0.128</v>
      </c>
      <c r="L573" s="139"/>
      <c r="M573" s="146"/>
    </row>
    <row r="574" spans="1:13" s="4" customFormat="1" ht="35.1" customHeight="1" x14ac:dyDescent="0.3">
      <c r="A574" s="36"/>
      <c r="B574" s="22"/>
      <c r="C574" s="23"/>
      <c r="D574" s="24"/>
      <c r="E574" s="72"/>
      <c r="F574" s="64"/>
      <c r="G574" s="27"/>
      <c r="H574" s="28"/>
      <c r="J574" s="139"/>
      <c r="K574" s="145"/>
      <c r="L574" s="139"/>
      <c r="M574" s="146"/>
    </row>
    <row r="575" spans="1:13" s="4" customFormat="1" ht="35.1" customHeight="1" x14ac:dyDescent="0.3">
      <c r="A575" s="36">
        <v>134</v>
      </c>
      <c r="B575" s="37" t="s">
        <v>47</v>
      </c>
      <c r="C575" s="38" t="s">
        <v>398</v>
      </c>
      <c r="D575" s="39" t="s">
        <v>399</v>
      </c>
      <c r="E575" s="73">
        <v>2</v>
      </c>
      <c r="F575" s="75" t="s">
        <v>69</v>
      </c>
      <c r="G575" s="42"/>
      <c r="H575" s="43">
        <f t="shared" si="23"/>
        <v>0</v>
      </c>
      <c r="J575" s="139">
        <f>68/1000</f>
        <v>6.8000000000000005E-2</v>
      </c>
      <c r="K575" s="145">
        <f t="shared" si="22"/>
        <v>0.13600000000000001</v>
      </c>
      <c r="L575" s="139"/>
      <c r="M575" s="146"/>
    </row>
    <row r="576" spans="1:13" s="4" customFormat="1" ht="35.1" customHeight="1" x14ac:dyDescent="0.3">
      <c r="A576" s="36"/>
      <c r="B576" s="22"/>
      <c r="C576" s="23"/>
      <c r="D576" s="24"/>
      <c r="E576" s="72"/>
      <c r="F576" s="64"/>
      <c r="G576" s="27"/>
      <c r="H576" s="28"/>
      <c r="J576" s="139"/>
      <c r="K576" s="145"/>
      <c r="L576" s="139"/>
      <c r="M576" s="146"/>
    </row>
    <row r="577" spans="1:13" s="4" customFormat="1" ht="35.1" customHeight="1" x14ac:dyDescent="0.3">
      <c r="A577" s="36">
        <v>135</v>
      </c>
      <c r="B577" s="37" t="s">
        <v>47</v>
      </c>
      <c r="C577" s="175" t="s">
        <v>608</v>
      </c>
      <c r="D577" s="39" t="s">
        <v>544</v>
      </c>
      <c r="E577" s="73">
        <v>2</v>
      </c>
      <c r="F577" s="75" t="s">
        <v>69</v>
      </c>
      <c r="G577" s="42"/>
      <c r="H577" s="43">
        <f t="shared" si="23"/>
        <v>0</v>
      </c>
      <c r="J577" s="139">
        <f>4/1000</f>
        <v>4.0000000000000001E-3</v>
      </c>
      <c r="K577" s="145">
        <f t="shared" si="22"/>
        <v>8.0000000000000002E-3</v>
      </c>
      <c r="L577" s="139"/>
      <c r="M577" s="146"/>
    </row>
    <row r="578" spans="1:13" s="4" customFormat="1" ht="35.1" customHeight="1" x14ac:dyDescent="0.3">
      <c r="A578" s="13"/>
      <c r="B578" s="14"/>
      <c r="C578" s="15"/>
      <c r="D578" s="16"/>
      <c r="E578" s="17"/>
      <c r="F578" s="18"/>
      <c r="G578" s="19"/>
      <c r="H578" s="20"/>
      <c r="J578" s="139"/>
      <c r="K578" s="145"/>
      <c r="L578" s="139"/>
      <c r="M578" s="146"/>
    </row>
    <row r="579" spans="1:13" s="4" customFormat="1" ht="35.1" customHeight="1" x14ac:dyDescent="0.3">
      <c r="A579" s="13">
        <v>136</v>
      </c>
      <c r="B579" s="14" t="s">
        <v>12</v>
      </c>
      <c r="C579" s="15" t="s">
        <v>162</v>
      </c>
      <c r="D579" s="16" t="s">
        <v>163</v>
      </c>
      <c r="E579" s="65">
        <f>E580</f>
        <v>3</v>
      </c>
      <c r="F579" s="74" t="s">
        <v>17</v>
      </c>
      <c r="G579" s="19"/>
      <c r="H579" s="20">
        <f t="shared" si="23"/>
        <v>0</v>
      </c>
      <c r="J579" s="139">
        <v>2.4</v>
      </c>
      <c r="K579" s="145">
        <f t="shared" si="22"/>
        <v>7.1999999999999993</v>
      </c>
      <c r="L579" s="139"/>
      <c r="M579" s="146"/>
    </row>
    <row r="580" spans="1:13" s="4" customFormat="1" ht="35.1" customHeight="1" x14ac:dyDescent="0.3">
      <c r="A580" s="13"/>
      <c r="B580" s="14"/>
      <c r="C580" s="15"/>
      <c r="D580" s="16" t="s">
        <v>545</v>
      </c>
      <c r="E580" s="65">
        <v>3</v>
      </c>
      <c r="F580" s="74" t="s">
        <v>17</v>
      </c>
      <c r="G580" s="19"/>
      <c r="H580" s="20"/>
      <c r="J580" s="139"/>
      <c r="K580" s="145"/>
      <c r="L580" s="139"/>
      <c r="M580" s="146"/>
    </row>
    <row r="581" spans="1:13" s="4" customFormat="1" ht="35.1" customHeight="1" x14ac:dyDescent="0.3">
      <c r="A581" s="21"/>
      <c r="B581" s="22"/>
      <c r="C581" s="23"/>
      <c r="D581" s="24"/>
      <c r="E581" s="72"/>
      <c r="F581" s="64"/>
      <c r="G581" s="27"/>
      <c r="H581" s="20"/>
      <c r="J581" s="139"/>
      <c r="K581" s="145"/>
      <c r="L581" s="139"/>
      <c r="M581" s="146"/>
    </row>
    <row r="582" spans="1:13" s="4" customFormat="1" ht="35.1" customHeight="1" x14ac:dyDescent="0.3">
      <c r="A582" s="13">
        <v>137</v>
      </c>
      <c r="B582" s="14" t="s">
        <v>12</v>
      </c>
      <c r="C582" s="195" t="s">
        <v>291</v>
      </c>
      <c r="D582" s="16" t="s">
        <v>546</v>
      </c>
      <c r="E582" s="65">
        <v>2</v>
      </c>
      <c r="F582" s="74" t="s">
        <v>69</v>
      </c>
      <c r="G582" s="19"/>
      <c r="H582" s="20">
        <f t="shared" si="23"/>
        <v>0</v>
      </c>
      <c r="J582" s="139"/>
      <c r="K582" s="145"/>
      <c r="L582" s="139"/>
      <c r="M582" s="146"/>
    </row>
    <row r="583" spans="1:13" s="4" customFormat="1" ht="35.1" customHeight="1" x14ac:dyDescent="0.3">
      <c r="A583" s="21"/>
      <c r="B583" s="22"/>
      <c r="C583" s="23"/>
      <c r="D583" s="24"/>
      <c r="E583" s="72"/>
      <c r="F583" s="64"/>
      <c r="G583" s="27"/>
      <c r="H583" s="20"/>
      <c r="J583" s="139"/>
      <c r="K583" s="145"/>
      <c r="L583" s="139"/>
      <c r="M583" s="146"/>
    </row>
    <row r="584" spans="1:13" s="4" customFormat="1" ht="35.1" customHeight="1" x14ac:dyDescent="0.3">
      <c r="A584" s="13">
        <v>138</v>
      </c>
      <c r="B584" s="14" t="s">
        <v>12</v>
      </c>
      <c r="C584" s="15" t="s">
        <v>291</v>
      </c>
      <c r="D584" s="16" t="s">
        <v>547</v>
      </c>
      <c r="E584" s="65">
        <v>2</v>
      </c>
      <c r="F584" s="74" t="s">
        <v>69</v>
      </c>
      <c r="G584" s="19"/>
      <c r="H584" s="20">
        <f t="shared" si="23"/>
        <v>0</v>
      </c>
      <c r="J584" s="139"/>
      <c r="K584" s="145"/>
      <c r="L584" s="139"/>
      <c r="M584" s="146"/>
    </row>
    <row r="585" spans="1:13" s="4" customFormat="1" ht="35.1" customHeight="1" x14ac:dyDescent="0.3">
      <c r="A585" s="21"/>
      <c r="B585" s="22"/>
      <c r="C585" s="23"/>
      <c r="D585" s="24"/>
      <c r="E585" s="72"/>
      <c r="F585" s="64"/>
      <c r="G585" s="27"/>
      <c r="H585" s="20"/>
      <c r="J585" s="139"/>
      <c r="K585" s="145"/>
      <c r="L585" s="139"/>
      <c r="M585" s="146"/>
    </row>
    <row r="586" spans="1:13" s="4" customFormat="1" ht="35.1" customHeight="1" x14ac:dyDescent="0.3">
      <c r="A586" s="13">
        <v>139</v>
      </c>
      <c r="B586" s="14" t="s">
        <v>12</v>
      </c>
      <c r="C586" s="15" t="s">
        <v>164</v>
      </c>
      <c r="D586" s="16" t="s">
        <v>165</v>
      </c>
      <c r="E586" s="205">
        <f>E589</f>
        <v>83.5</v>
      </c>
      <c r="F586" s="74" t="s">
        <v>66</v>
      </c>
      <c r="G586" s="19"/>
      <c r="H586" s="20">
        <f t="shared" si="23"/>
        <v>0</v>
      </c>
      <c r="J586" s="139"/>
      <c r="K586" s="145"/>
      <c r="L586" s="139"/>
      <c r="M586" s="146"/>
    </row>
    <row r="587" spans="1:13" s="4" customFormat="1" ht="35.1" customHeight="1" x14ac:dyDescent="0.3">
      <c r="A587" s="21"/>
      <c r="B587" s="22"/>
      <c r="C587" s="23"/>
      <c r="D587" s="24" t="s">
        <v>548</v>
      </c>
      <c r="E587" s="193"/>
      <c r="F587" s="64"/>
      <c r="G587" s="27"/>
      <c r="H587" s="20"/>
      <c r="J587" s="139"/>
      <c r="K587" s="145"/>
      <c r="L587" s="139"/>
      <c r="M587" s="146"/>
    </row>
    <row r="588" spans="1:13" s="4" customFormat="1" ht="35.1" customHeight="1" x14ac:dyDescent="0.3">
      <c r="A588" s="21"/>
      <c r="B588" s="22"/>
      <c r="C588" s="23"/>
      <c r="D588" s="24"/>
      <c r="E588" s="193"/>
      <c r="F588" s="64"/>
      <c r="G588" s="27"/>
      <c r="H588" s="20"/>
      <c r="J588" s="139"/>
      <c r="K588" s="145"/>
      <c r="L588" s="139"/>
      <c r="M588" s="146"/>
    </row>
    <row r="589" spans="1:13" s="4" customFormat="1" ht="35.1" customHeight="1" x14ac:dyDescent="0.3">
      <c r="A589" s="13">
        <v>140</v>
      </c>
      <c r="B589" s="14" t="s">
        <v>12</v>
      </c>
      <c r="C589" s="15" t="s">
        <v>294</v>
      </c>
      <c r="D589" s="16" t="s">
        <v>166</v>
      </c>
      <c r="E589" s="205">
        <f>E458+E449</f>
        <v>83.5</v>
      </c>
      <c r="F589" s="74" t="s">
        <v>66</v>
      </c>
      <c r="G589" s="19"/>
      <c r="H589" s="20">
        <f t="shared" si="23"/>
        <v>0</v>
      </c>
      <c r="J589" s="139"/>
      <c r="K589" s="145"/>
      <c r="L589" s="139"/>
      <c r="M589" s="146"/>
    </row>
    <row r="590" spans="1:13" s="4" customFormat="1" ht="35.1" customHeight="1" x14ac:dyDescent="0.3">
      <c r="A590" s="21"/>
      <c r="B590" s="22"/>
      <c r="C590" s="23"/>
      <c r="D590" s="24" t="s">
        <v>295</v>
      </c>
      <c r="E590" s="193"/>
      <c r="F590" s="64"/>
      <c r="G590" s="27"/>
      <c r="H590" s="20"/>
      <c r="J590" s="139"/>
      <c r="K590" s="145"/>
      <c r="L590" s="139"/>
      <c r="M590" s="146"/>
    </row>
    <row r="591" spans="1:13" s="4" customFormat="1" ht="35.1" customHeight="1" x14ac:dyDescent="0.3">
      <c r="A591" s="21"/>
      <c r="B591" s="22"/>
      <c r="C591" s="23"/>
      <c r="D591" s="24"/>
      <c r="E591" s="193"/>
      <c r="F591" s="64"/>
      <c r="G591" s="27"/>
      <c r="H591" s="20"/>
      <c r="J591" s="139"/>
      <c r="K591" s="145"/>
      <c r="L591" s="139"/>
      <c r="M591" s="146"/>
    </row>
    <row r="592" spans="1:13" s="4" customFormat="1" ht="35.1" customHeight="1" x14ac:dyDescent="0.3">
      <c r="A592" s="13">
        <v>141</v>
      </c>
      <c r="B592" s="14" t="s">
        <v>12</v>
      </c>
      <c r="C592" s="15" t="s">
        <v>293</v>
      </c>
      <c r="D592" s="16" t="s">
        <v>292</v>
      </c>
      <c r="E592" s="205">
        <f>E449+E458</f>
        <v>83.5</v>
      </c>
      <c r="F592" s="74" t="s">
        <v>66</v>
      </c>
      <c r="G592" s="19"/>
      <c r="H592" s="20">
        <f t="shared" si="23"/>
        <v>0</v>
      </c>
      <c r="J592" s="139"/>
      <c r="K592" s="145"/>
      <c r="L592" s="139"/>
      <c r="M592" s="146"/>
    </row>
    <row r="593" spans="1:13" s="4" customFormat="1" ht="35.1" customHeight="1" x14ac:dyDescent="0.3">
      <c r="A593" s="13"/>
      <c r="B593" s="14"/>
      <c r="C593" s="15"/>
      <c r="D593" s="16" t="s">
        <v>295</v>
      </c>
      <c r="E593" s="17"/>
      <c r="F593" s="18"/>
      <c r="G593" s="19"/>
      <c r="H593" s="20"/>
      <c r="J593" s="139"/>
      <c r="K593" s="145"/>
      <c r="L593" s="139"/>
      <c r="M593" s="146"/>
    </row>
    <row r="594" spans="1:13" s="170" customFormat="1" ht="35.1" customHeight="1" x14ac:dyDescent="0.2">
      <c r="A594" s="167"/>
      <c r="B594" s="168" t="s">
        <v>3</v>
      </c>
      <c r="C594" s="168" t="s">
        <v>22</v>
      </c>
      <c r="D594" s="168" t="s">
        <v>172</v>
      </c>
      <c r="E594" s="169"/>
      <c r="F594" s="168"/>
      <c r="G594" s="69"/>
      <c r="H594" s="70">
        <f>SUM(H305:H593)</f>
        <v>0</v>
      </c>
      <c r="J594" s="171"/>
      <c r="K594" s="145"/>
      <c r="L594" s="171"/>
      <c r="M594" s="172"/>
    </row>
    <row r="595" spans="1:13" s="71" customFormat="1" ht="35.1" customHeight="1" x14ac:dyDescent="0.2">
      <c r="A595" s="66"/>
      <c r="B595" s="67"/>
      <c r="C595" s="67"/>
      <c r="D595" s="67"/>
      <c r="E595" s="68"/>
      <c r="F595" s="67"/>
      <c r="G595" s="69"/>
      <c r="H595" s="70"/>
      <c r="J595" s="136"/>
      <c r="K595" s="145"/>
      <c r="L595" s="136"/>
      <c r="M595" s="138"/>
    </row>
    <row r="596" spans="1:13" s="71" customFormat="1" ht="35.1" customHeight="1" x14ac:dyDescent="0.2">
      <c r="A596" s="66"/>
      <c r="B596" s="67" t="s">
        <v>3</v>
      </c>
      <c r="C596" s="67" t="s">
        <v>25</v>
      </c>
      <c r="D596" s="67" t="s">
        <v>104</v>
      </c>
      <c r="E596" s="68"/>
      <c r="F596" s="67"/>
      <c r="G596" s="69"/>
      <c r="H596" s="70"/>
      <c r="J596" s="136"/>
      <c r="K596" s="145"/>
      <c r="L596" s="136"/>
      <c r="M596" s="138"/>
    </row>
    <row r="597" spans="1:13" s="4" customFormat="1" ht="35.1" customHeight="1" x14ac:dyDescent="0.3">
      <c r="A597" s="13">
        <v>142</v>
      </c>
      <c r="B597" s="14" t="s">
        <v>12</v>
      </c>
      <c r="C597" s="15" t="s">
        <v>105</v>
      </c>
      <c r="D597" s="16" t="s">
        <v>106</v>
      </c>
      <c r="E597" s="17">
        <v>8</v>
      </c>
      <c r="F597" s="18" t="s">
        <v>66</v>
      </c>
      <c r="G597" s="19"/>
      <c r="H597" s="20">
        <f>E597*G597</f>
        <v>0</v>
      </c>
      <c r="J597" s="139">
        <v>8.6800000000000002E-3</v>
      </c>
      <c r="K597" s="145">
        <f t="shared" ref="K597:K603" si="24">E597*J597</f>
        <v>6.9440000000000002E-2</v>
      </c>
      <c r="L597" s="139"/>
      <c r="M597" s="146"/>
    </row>
    <row r="598" spans="1:13" s="29" customFormat="1" ht="35.1" customHeight="1" x14ac:dyDescent="0.3">
      <c r="A598" s="21"/>
      <c r="B598" s="22"/>
      <c r="C598" s="23"/>
      <c r="D598" s="24"/>
      <c r="E598" s="25"/>
      <c r="F598" s="26"/>
      <c r="G598" s="27"/>
      <c r="H598" s="20"/>
      <c r="J598" s="140"/>
      <c r="K598" s="145"/>
      <c r="L598" s="140"/>
      <c r="M598" s="149"/>
    </row>
    <row r="599" spans="1:13" s="4" customFormat="1" ht="35.1" customHeight="1" x14ac:dyDescent="0.3">
      <c r="A599" s="13">
        <v>143</v>
      </c>
      <c r="B599" s="14" t="s">
        <v>12</v>
      </c>
      <c r="C599" s="15" t="s">
        <v>107</v>
      </c>
      <c r="D599" s="16" t="s">
        <v>108</v>
      </c>
      <c r="E599" s="17">
        <v>8</v>
      </c>
      <c r="F599" s="18" t="s">
        <v>66</v>
      </c>
      <c r="G599" s="19"/>
      <c r="H599" s="20">
        <f t="shared" ref="H599:H638" si="25">E599*G599</f>
        <v>0</v>
      </c>
      <c r="J599" s="139">
        <v>3.6900000000000002E-2</v>
      </c>
      <c r="K599" s="145">
        <f t="shared" si="24"/>
        <v>0.29520000000000002</v>
      </c>
      <c r="L599" s="139"/>
      <c r="M599" s="146"/>
    </row>
    <row r="600" spans="1:13" s="29" customFormat="1" ht="35.1" customHeight="1" x14ac:dyDescent="0.3">
      <c r="A600" s="21"/>
      <c r="B600" s="22"/>
      <c r="C600" s="23"/>
      <c r="D600" s="24"/>
      <c r="E600" s="25"/>
      <c r="F600" s="26"/>
      <c r="G600" s="27"/>
      <c r="H600" s="20"/>
      <c r="J600" s="140"/>
      <c r="K600" s="145"/>
      <c r="L600" s="140"/>
      <c r="M600" s="149"/>
    </row>
    <row r="601" spans="1:13" s="4" customFormat="1" ht="35.1" customHeight="1" x14ac:dyDescent="0.3">
      <c r="A601" s="13">
        <v>144</v>
      </c>
      <c r="B601" s="14" t="s">
        <v>12</v>
      </c>
      <c r="C601" s="15" t="s">
        <v>109</v>
      </c>
      <c r="D601" s="16" t="s">
        <v>110</v>
      </c>
      <c r="E601" s="17">
        <v>8</v>
      </c>
      <c r="F601" s="18" t="s">
        <v>66</v>
      </c>
      <c r="G601" s="19"/>
      <c r="H601" s="20">
        <f t="shared" si="25"/>
        <v>0</v>
      </c>
      <c r="J601" s="139">
        <v>6.053E-2</v>
      </c>
      <c r="K601" s="145">
        <f t="shared" si="24"/>
        <v>0.48424</v>
      </c>
      <c r="L601" s="139"/>
      <c r="M601" s="146"/>
    </row>
    <row r="602" spans="1:13" s="29" customFormat="1" ht="35.1" customHeight="1" x14ac:dyDescent="0.3">
      <c r="A602" s="21"/>
      <c r="B602" s="22"/>
      <c r="C602" s="23"/>
      <c r="D602" s="24"/>
      <c r="E602" s="25"/>
      <c r="F602" s="26"/>
      <c r="G602" s="27"/>
      <c r="H602" s="20"/>
      <c r="J602" s="140"/>
      <c r="K602" s="145"/>
      <c r="L602" s="140"/>
      <c r="M602" s="149"/>
    </row>
    <row r="603" spans="1:13" s="4" customFormat="1" ht="35.1" customHeight="1" x14ac:dyDescent="0.3">
      <c r="A603" s="13">
        <v>145</v>
      </c>
      <c r="B603" s="14" t="s">
        <v>12</v>
      </c>
      <c r="C603" s="15" t="s">
        <v>111</v>
      </c>
      <c r="D603" s="16" t="s">
        <v>112</v>
      </c>
      <c r="E603" s="17">
        <v>3</v>
      </c>
      <c r="F603" s="18" t="s">
        <v>69</v>
      </c>
      <c r="G603" s="19"/>
      <c r="H603" s="20">
        <f t="shared" si="25"/>
        <v>0</v>
      </c>
      <c r="J603" s="139">
        <v>8.0000000000000004E-4</v>
      </c>
      <c r="K603" s="145">
        <f t="shared" si="24"/>
        <v>2.4000000000000002E-3</v>
      </c>
      <c r="L603" s="139"/>
      <c r="M603" s="146"/>
    </row>
    <row r="604" spans="1:13" s="29" customFormat="1" ht="35.1" customHeight="1" x14ac:dyDescent="0.3">
      <c r="A604" s="21"/>
      <c r="B604" s="22"/>
      <c r="C604" s="23"/>
      <c r="D604" s="24"/>
      <c r="E604" s="25"/>
      <c r="F604" s="26"/>
      <c r="G604" s="27"/>
      <c r="H604" s="20"/>
      <c r="J604" s="140"/>
      <c r="K604" s="145"/>
      <c r="L604" s="140"/>
      <c r="M604" s="149"/>
    </row>
    <row r="605" spans="1:13" s="4" customFormat="1" ht="35.1" customHeight="1" x14ac:dyDescent="0.3">
      <c r="A605" s="13">
        <v>146</v>
      </c>
      <c r="B605" s="14" t="s">
        <v>12</v>
      </c>
      <c r="C605" s="15" t="s">
        <v>113</v>
      </c>
      <c r="D605" s="16" t="s">
        <v>114</v>
      </c>
      <c r="E605" s="17">
        <v>4</v>
      </c>
      <c r="F605" s="18" t="s">
        <v>69</v>
      </c>
      <c r="G605" s="19"/>
      <c r="H605" s="20">
        <f t="shared" si="25"/>
        <v>0</v>
      </c>
      <c r="J605" s="139">
        <v>0</v>
      </c>
      <c r="K605" s="145"/>
      <c r="L605" s="139"/>
      <c r="M605" s="146"/>
    </row>
    <row r="606" spans="1:13" s="29" customFormat="1" ht="35.1" customHeight="1" x14ac:dyDescent="0.3">
      <c r="A606" s="21"/>
      <c r="B606" s="22"/>
      <c r="C606" s="23"/>
      <c r="D606" s="24"/>
      <c r="E606" s="25"/>
      <c r="F606" s="26"/>
      <c r="G606" s="27"/>
      <c r="H606" s="20"/>
      <c r="J606" s="140"/>
      <c r="K606" s="145"/>
      <c r="L606" s="140"/>
      <c r="M606" s="149"/>
    </row>
    <row r="607" spans="1:13" s="4" customFormat="1" ht="35.1" customHeight="1" x14ac:dyDescent="0.3">
      <c r="A607" s="13">
        <v>147</v>
      </c>
      <c r="B607" s="14" t="s">
        <v>12</v>
      </c>
      <c r="C607" s="15" t="s">
        <v>217</v>
      </c>
      <c r="D607" s="16" t="s">
        <v>450</v>
      </c>
      <c r="E607" s="17">
        <f>E626</f>
        <v>111.4</v>
      </c>
      <c r="F607" s="18" t="s">
        <v>66</v>
      </c>
      <c r="G607" s="19"/>
      <c r="H607" s="20">
        <f t="shared" si="25"/>
        <v>0</v>
      </c>
      <c r="J607" s="139">
        <v>0</v>
      </c>
      <c r="K607" s="145"/>
      <c r="L607" s="139"/>
      <c r="M607" s="146"/>
    </row>
    <row r="608" spans="1:13" s="4" customFormat="1" ht="35.1" customHeight="1" x14ac:dyDescent="0.3">
      <c r="A608" s="13"/>
      <c r="B608" s="14"/>
      <c r="C608" s="15"/>
      <c r="D608" s="24" t="s">
        <v>451</v>
      </c>
      <c r="E608" s="25">
        <f>2*10</f>
        <v>20</v>
      </c>
      <c r="F608" s="26" t="s">
        <v>66</v>
      </c>
      <c r="G608" s="19"/>
      <c r="H608" s="20"/>
      <c r="J608" s="139"/>
      <c r="K608" s="145"/>
      <c r="L608" s="139"/>
      <c r="M608" s="146"/>
    </row>
    <row r="609" spans="1:13" s="4" customFormat="1" ht="35.1" customHeight="1" x14ac:dyDescent="0.3">
      <c r="A609" s="13"/>
      <c r="B609" s="14"/>
      <c r="C609" s="15"/>
      <c r="D609" s="24" t="s">
        <v>452</v>
      </c>
      <c r="E609" s="25">
        <f>2*(1.5+3)</f>
        <v>9</v>
      </c>
      <c r="F609" s="26" t="s">
        <v>66</v>
      </c>
      <c r="G609" s="19"/>
      <c r="H609" s="20"/>
      <c r="J609" s="139"/>
      <c r="K609" s="145"/>
      <c r="L609" s="139"/>
      <c r="M609" s="146"/>
    </row>
    <row r="610" spans="1:13" s="4" customFormat="1" ht="35.1" customHeight="1" x14ac:dyDescent="0.3">
      <c r="A610" s="13"/>
      <c r="B610" s="14"/>
      <c r="C610" s="15"/>
      <c r="D610" s="121" t="s">
        <v>309</v>
      </c>
      <c r="E610" s="122">
        <f>SUM(E608:E609)</f>
        <v>29</v>
      </c>
      <c r="F610" s="123" t="s">
        <v>66</v>
      </c>
      <c r="G610" s="19"/>
      <c r="H610" s="20"/>
      <c r="J610" s="139"/>
      <c r="K610" s="145"/>
      <c r="L610" s="139"/>
      <c r="M610" s="146"/>
    </row>
    <row r="611" spans="1:13" s="4" customFormat="1" ht="35.1" customHeight="1" x14ac:dyDescent="0.3">
      <c r="A611" s="13"/>
      <c r="B611" s="14"/>
      <c r="C611" s="15"/>
      <c r="D611" s="24"/>
      <c r="E611" s="25"/>
      <c r="F611" s="26"/>
      <c r="G611" s="19"/>
      <c r="H611" s="20"/>
      <c r="J611" s="139"/>
      <c r="K611" s="145"/>
      <c r="L611" s="139"/>
      <c r="M611" s="146"/>
    </row>
    <row r="612" spans="1:13" s="4" customFormat="1" ht="35.1" customHeight="1" x14ac:dyDescent="0.3">
      <c r="A612" s="13"/>
      <c r="B612" s="14"/>
      <c r="C612" s="15"/>
      <c r="D612" s="24" t="s">
        <v>453</v>
      </c>
      <c r="E612" s="25">
        <f>2*5</f>
        <v>10</v>
      </c>
      <c r="F612" s="26" t="s">
        <v>66</v>
      </c>
      <c r="G612" s="19"/>
      <c r="H612" s="20"/>
      <c r="J612" s="139"/>
      <c r="K612" s="145"/>
      <c r="L612" s="139"/>
      <c r="M612" s="146"/>
    </row>
    <row r="613" spans="1:13" s="4" customFormat="1" ht="35.1" customHeight="1" x14ac:dyDescent="0.3">
      <c r="A613" s="13"/>
      <c r="B613" s="14"/>
      <c r="C613" s="15"/>
      <c r="D613" s="24" t="s">
        <v>454</v>
      </c>
      <c r="E613" s="25">
        <f>2*5</f>
        <v>10</v>
      </c>
      <c r="F613" s="26" t="s">
        <v>66</v>
      </c>
      <c r="G613" s="19"/>
      <c r="H613" s="20"/>
      <c r="J613" s="139"/>
      <c r="K613" s="145"/>
      <c r="L613" s="139"/>
      <c r="M613" s="146"/>
    </row>
    <row r="614" spans="1:13" s="4" customFormat="1" ht="35.1" customHeight="1" x14ac:dyDescent="0.3">
      <c r="A614" s="13"/>
      <c r="B614" s="14"/>
      <c r="C614" s="15"/>
      <c r="D614" s="24" t="s">
        <v>455</v>
      </c>
      <c r="E614" s="25">
        <f>2*2</f>
        <v>4</v>
      </c>
      <c r="F614" s="26" t="s">
        <v>66</v>
      </c>
      <c r="G614" s="19"/>
      <c r="H614" s="20"/>
      <c r="J614" s="139"/>
      <c r="K614" s="145"/>
      <c r="L614" s="139"/>
      <c r="M614" s="146"/>
    </row>
    <row r="615" spans="1:13" s="4" customFormat="1" ht="35.1" customHeight="1" x14ac:dyDescent="0.3">
      <c r="A615" s="13"/>
      <c r="B615" s="14"/>
      <c r="C615" s="15"/>
      <c r="D615" s="24" t="s">
        <v>456</v>
      </c>
      <c r="E615" s="25">
        <f>2*5</f>
        <v>10</v>
      </c>
      <c r="F615" s="26" t="s">
        <v>66</v>
      </c>
      <c r="G615" s="19"/>
      <c r="H615" s="20"/>
      <c r="J615" s="139"/>
      <c r="K615" s="145"/>
      <c r="L615" s="139"/>
      <c r="M615" s="146"/>
    </row>
    <row r="616" spans="1:13" s="29" customFormat="1" ht="35.1" customHeight="1" x14ac:dyDescent="0.3">
      <c r="A616" s="21"/>
      <c r="B616" s="22"/>
      <c r="C616" s="23"/>
      <c r="D616" s="121" t="s">
        <v>220</v>
      </c>
      <c r="E616" s="122">
        <f>SUM(E612:E615)</f>
        <v>34</v>
      </c>
      <c r="F616" s="123" t="s">
        <v>66</v>
      </c>
      <c r="G616" s="27"/>
      <c r="H616" s="20"/>
      <c r="J616" s="140"/>
      <c r="K616" s="145"/>
      <c r="L616" s="140"/>
      <c r="M616" s="165"/>
    </row>
    <row r="617" spans="1:13" s="29" customFormat="1" ht="35.1" customHeight="1" x14ac:dyDescent="0.3">
      <c r="A617" s="21"/>
      <c r="B617" s="22"/>
      <c r="C617" s="23"/>
      <c r="D617" s="24"/>
      <c r="E617" s="25"/>
      <c r="F617" s="26"/>
      <c r="G617" s="27"/>
      <c r="H617" s="20"/>
      <c r="J617" s="140"/>
      <c r="K617" s="145"/>
      <c r="L617" s="140"/>
      <c r="M617" s="165"/>
    </row>
    <row r="618" spans="1:13" s="29" customFormat="1" ht="35.1" customHeight="1" x14ac:dyDescent="0.3">
      <c r="A618" s="21"/>
      <c r="B618" s="22"/>
      <c r="C618" s="23"/>
      <c r="D618" s="24" t="s">
        <v>296</v>
      </c>
      <c r="E618" s="25"/>
      <c r="F618" s="26"/>
      <c r="G618" s="27"/>
      <c r="H618" s="20"/>
      <c r="J618" s="140"/>
      <c r="K618" s="145"/>
      <c r="L618" s="140"/>
      <c r="M618" s="165"/>
    </row>
    <row r="619" spans="1:13" s="29" customFormat="1" ht="35.1" customHeight="1" x14ac:dyDescent="0.3">
      <c r="A619" s="21"/>
      <c r="B619" s="22"/>
      <c r="C619" s="23"/>
      <c r="D619" s="24" t="s">
        <v>297</v>
      </c>
      <c r="E619" s="25">
        <f>2*(2.5+4.5)</f>
        <v>14</v>
      </c>
      <c r="F619" s="26" t="s">
        <v>66</v>
      </c>
      <c r="G619" s="27"/>
      <c r="H619" s="20"/>
      <c r="J619" s="140"/>
      <c r="K619" s="145"/>
      <c r="L619" s="140"/>
      <c r="M619" s="165"/>
    </row>
    <row r="620" spans="1:13" s="29" customFormat="1" ht="35.1" customHeight="1" x14ac:dyDescent="0.3">
      <c r="A620" s="21"/>
      <c r="B620" s="22"/>
      <c r="C620" s="23"/>
      <c r="D620" s="24" t="s">
        <v>457</v>
      </c>
      <c r="E620" s="25">
        <f>2*(2+1)</f>
        <v>6</v>
      </c>
      <c r="F620" s="26" t="s">
        <v>66</v>
      </c>
      <c r="G620" s="27"/>
      <c r="H620" s="20"/>
      <c r="J620" s="140"/>
      <c r="K620" s="145"/>
      <c r="L620" s="140"/>
      <c r="M620" s="165"/>
    </row>
    <row r="621" spans="1:13" s="29" customFormat="1" ht="35.1" customHeight="1" x14ac:dyDescent="0.3">
      <c r="A621" s="21"/>
      <c r="B621" s="22"/>
      <c r="C621" s="23"/>
      <c r="D621" s="24" t="s">
        <v>458</v>
      </c>
      <c r="E621" s="25">
        <f>4*1.5</f>
        <v>6</v>
      </c>
      <c r="F621" s="26" t="s">
        <v>66</v>
      </c>
      <c r="G621" s="27"/>
      <c r="H621" s="20"/>
      <c r="J621" s="140"/>
      <c r="K621" s="145"/>
      <c r="L621" s="140"/>
      <c r="M621" s="165"/>
    </row>
    <row r="622" spans="1:13" s="29" customFormat="1" ht="35.1" customHeight="1" x14ac:dyDescent="0.3">
      <c r="A622" s="21"/>
      <c r="B622" s="22"/>
      <c r="C622" s="23"/>
      <c r="D622" s="24" t="s">
        <v>461</v>
      </c>
      <c r="E622" s="25">
        <f>2*4*1</f>
        <v>8</v>
      </c>
      <c r="F622" s="26" t="s">
        <v>66</v>
      </c>
      <c r="G622" s="27"/>
      <c r="H622" s="20"/>
      <c r="J622" s="140"/>
      <c r="K622" s="145"/>
      <c r="L622" s="140"/>
      <c r="M622" s="165"/>
    </row>
    <row r="623" spans="1:13" s="29" customFormat="1" ht="35.1" customHeight="1" x14ac:dyDescent="0.3">
      <c r="A623" s="21"/>
      <c r="B623" s="22"/>
      <c r="C623" s="23"/>
      <c r="D623" s="24" t="s">
        <v>460</v>
      </c>
      <c r="E623" s="25">
        <f>4*1</f>
        <v>4</v>
      </c>
      <c r="F623" s="26" t="s">
        <v>66</v>
      </c>
      <c r="G623" s="27"/>
      <c r="H623" s="20"/>
      <c r="J623" s="140"/>
      <c r="K623" s="145"/>
      <c r="L623" s="140"/>
      <c r="M623" s="165"/>
    </row>
    <row r="624" spans="1:13" s="29" customFormat="1" ht="35.1" customHeight="1" x14ac:dyDescent="0.3">
      <c r="A624" s="21"/>
      <c r="B624" s="22"/>
      <c r="C624" s="23"/>
      <c r="D624" s="121" t="s">
        <v>245</v>
      </c>
      <c r="E624" s="122">
        <f>SUM(E619:E623)</f>
        <v>38</v>
      </c>
      <c r="F624" s="123" t="s">
        <v>66</v>
      </c>
      <c r="G624" s="27"/>
      <c r="H624" s="20"/>
      <c r="J624" s="140"/>
      <c r="K624" s="145"/>
      <c r="L624" s="140"/>
      <c r="M624" s="165"/>
    </row>
    <row r="625" spans="1:13" s="29" customFormat="1" ht="35.1" customHeight="1" x14ac:dyDescent="0.3">
      <c r="A625" s="21"/>
      <c r="B625" s="22"/>
      <c r="C625" s="23"/>
      <c r="D625" s="121" t="s">
        <v>459</v>
      </c>
      <c r="E625" s="122">
        <f>2*(2*3.6-1.5-0.5)</f>
        <v>10.4</v>
      </c>
      <c r="F625" s="123" t="s">
        <v>66</v>
      </c>
      <c r="G625" s="27"/>
      <c r="H625" s="20"/>
      <c r="J625" s="140"/>
      <c r="K625" s="145"/>
      <c r="L625" s="140"/>
      <c r="M625" s="165"/>
    </row>
    <row r="626" spans="1:13" s="29" customFormat="1" ht="35.1" customHeight="1" x14ac:dyDescent="0.3">
      <c r="A626" s="21"/>
      <c r="B626" s="22"/>
      <c r="C626" s="23"/>
      <c r="D626" s="121" t="s">
        <v>18</v>
      </c>
      <c r="E626" s="122">
        <f>E625+E624+E616+E610</f>
        <v>111.4</v>
      </c>
      <c r="F626" s="123" t="s">
        <v>66</v>
      </c>
      <c r="G626" s="27"/>
      <c r="H626" s="20"/>
      <c r="J626" s="140"/>
      <c r="K626" s="145"/>
      <c r="L626" s="140"/>
      <c r="M626" s="165"/>
    </row>
    <row r="627" spans="1:13" s="29" customFormat="1" ht="35.1" customHeight="1" x14ac:dyDescent="0.3">
      <c r="A627" s="21"/>
      <c r="B627" s="22"/>
      <c r="C627" s="23"/>
      <c r="D627" s="24"/>
      <c r="E627" s="25"/>
      <c r="F627" s="26"/>
      <c r="G627" s="27"/>
      <c r="H627" s="20"/>
      <c r="J627" s="140"/>
      <c r="K627" s="145"/>
      <c r="L627" s="140"/>
      <c r="M627" s="165"/>
    </row>
    <row r="628" spans="1:13" s="4" customFormat="1" ht="35.1" customHeight="1" x14ac:dyDescent="0.3">
      <c r="A628" s="13">
        <v>148</v>
      </c>
      <c r="B628" s="14" t="s">
        <v>12</v>
      </c>
      <c r="C628" s="15" t="s">
        <v>115</v>
      </c>
      <c r="D628" s="16" t="s">
        <v>116</v>
      </c>
      <c r="E628" s="17">
        <f>E24*2</f>
        <v>103.1</v>
      </c>
      <c r="F628" s="18" t="s">
        <v>13</v>
      </c>
      <c r="G628" s="19"/>
      <c r="H628" s="20">
        <f t="shared" si="25"/>
        <v>0</v>
      </c>
      <c r="J628" s="139"/>
      <c r="K628" s="145"/>
      <c r="L628" s="139">
        <v>0.02</v>
      </c>
      <c r="M628" s="146"/>
    </row>
    <row r="629" spans="1:13" s="29" customFormat="1" ht="35.1" customHeight="1" x14ac:dyDescent="0.3">
      <c r="A629" s="21"/>
      <c r="B629" s="22"/>
      <c r="C629" s="23"/>
      <c r="D629" s="24"/>
      <c r="E629" s="25"/>
      <c r="F629" s="26"/>
      <c r="G629" s="27"/>
      <c r="H629" s="20"/>
      <c r="J629" s="140"/>
      <c r="K629" s="145"/>
      <c r="L629" s="140"/>
      <c r="M629" s="149"/>
    </row>
    <row r="630" spans="1:13" s="4" customFormat="1" ht="35.1" customHeight="1" x14ac:dyDescent="0.3">
      <c r="A630" s="13">
        <v>149</v>
      </c>
      <c r="B630" s="14" t="s">
        <v>12</v>
      </c>
      <c r="C630" s="15" t="s">
        <v>117</v>
      </c>
      <c r="D630" s="16" t="s">
        <v>118</v>
      </c>
      <c r="E630" s="17">
        <f>E628*2</f>
        <v>206.2</v>
      </c>
      <c r="F630" s="18" t="s">
        <v>13</v>
      </c>
      <c r="G630" s="19"/>
      <c r="H630" s="20">
        <f t="shared" si="25"/>
        <v>0</v>
      </c>
      <c r="J630" s="139"/>
      <c r="K630" s="145"/>
      <c r="L630" s="139">
        <v>0.02</v>
      </c>
      <c r="M630" s="146"/>
    </row>
    <row r="631" spans="1:13" s="29" customFormat="1" ht="35.1" customHeight="1" x14ac:dyDescent="0.3">
      <c r="A631" s="21"/>
      <c r="B631" s="22"/>
      <c r="C631" s="23"/>
      <c r="D631" s="24"/>
      <c r="E631" s="25"/>
      <c r="F631" s="26"/>
      <c r="G631" s="27"/>
      <c r="H631" s="20"/>
      <c r="J631" s="140"/>
      <c r="K631" s="145"/>
      <c r="L631" s="140"/>
      <c r="M631" s="149"/>
    </row>
    <row r="632" spans="1:13" s="4" customFormat="1" ht="35.1" customHeight="1" x14ac:dyDescent="0.3">
      <c r="A632" s="13">
        <v>150</v>
      </c>
      <c r="B632" s="14" t="s">
        <v>12</v>
      </c>
      <c r="C632" s="15" t="s">
        <v>634</v>
      </c>
      <c r="D632" s="16" t="s">
        <v>120</v>
      </c>
      <c r="E632" s="17">
        <v>1</v>
      </c>
      <c r="F632" s="18" t="s">
        <v>121</v>
      </c>
      <c r="G632" s="19"/>
      <c r="H632" s="20">
        <f t="shared" si="25"/>
        <v>0</v>
      </c>
      <c r="J632" s="139"/>
      <c r="K632" s="145"/>
      <c r="L632" s="139"/>
      <c r="M632" s="146"/>
    </row>
    <row r="633" spans="1:13" s="29" customFormat="1" ht="35.1" customHeight="1" x14ac:dyDescent="0.3">
      <c r="A633" s="21"/>
      <c r="B633" s="22"/>
      <c r="C633" s="23"/>
      <c r="D633" s="24"/>
      <c r="E633" s="25"/>
      <c r="F633" s="26"/>
      <c r="G633" s="27"/>
      <c r="H633" s="20"/>
      <c r="J633" s="140"/>
      <c r="K633" s="145"/>
      <c r="L633" s="140"/>
      <c r="M633" s="149"/>
    </row>
    <row r="634" spans="1:13" s="4" customFormat="1" ht="35.1" customHeight="1" x14ac:dyDescent="0.3">
      <c r="A634" s="13">
        <v>151</v>
      </c>
      <c r="B634" s="14" t="s">
        <v>12</v>
      </c>
      <c r="C634" s="15" t="s">
        <v>635</v>
      </c>
      <c r="D634" s="16" t="s">
        <v>190</v>
      </c>
      <c r="E634" s="17">
        <v>1</v>
      </c>
      <c r="F634" s="18" t="s">
        <v>121</v>
      </c>
      <c r="G634" s="19"/>
      <c r="H634" s="20">
        <f t="shared" si="25"/>
        <v>0</v>
      </c>
      <c r="J634" s="139"/>
      <c r="K634" s="145"/>
      <c r="L634" s="139"/>
      <c r="M634" s="146"/>
    </row>
    <row r="635" spans="1:13" s="29" customFormat="1" ht="35.1" customHeight="1" x14ac:dyDescent="0.3">
      <c r="A635" s="21"/>
      <c r="B635" s="22"/>
      <c r="C635" s="23"/>
      <c r="D635" s="24"/>
      <c r="E635" s="25"/>
      <c r="F635" s="26"/>
      <c r="G635" s="27"/>
      <c r="H635" s="20"/>
      <c r="J635" s="140"/>
      <c r="K635" s="145"/>
      <c r="L635" s="140"/>
      <c r="M635" s="149"/>
    </row>
    <row r="636" spans="1:13" s="4" customFormat="1" ht="35.1" customHeight="1" x14ac:dyDescent="0.3">
      <c r="A636" s="13">
        <v>152</v>
      </c>
      <c r="B636" s="14" t="s">
        <v>12</v>
      </c>
      <c r="C636" s="15" t="s">
        <v>636</v>
      </c>
      <c r="D636" s="16" t="s">
        <v>607</v>
      </c>
      <c r="E636" s="17">
        <v>1</v>
      </c>
      <c r="F636" s="18" t="s">
        <v>121</v>
      </c>
      <c r="G636" s="19"/>
      <c r="H636" s="20">
        <f t="shared" si="25"/>
        <v>0</v>
      </c>
      <c r="J636" s="139"/>
      <c r="K636" s="145"/>
      <c r="L636" s="139"/>
      <c r="M636" s="146"/>
    </row>
    <row r="637" spans="1:13" s="29" customFormat="1" ht="35.1" customHeight="1" x14ac:dyDescent="0.3">
      <c r="A637" s="21"/>
      <c r="B637" s="22"/>
      <c r="C637" s="23"/>
      <c r="D637" s="24"/>
      <c r="E637" s="25"/>
      <c r="F637" s="26"/>
      <c r="G637" s="27"/>
      <c r="H637" s="20"/>
      <c r="J637" s="140"/>
      <c r="K637" s="145"/>
      <c r="L637" s="140"/>
      <c r="M637" s="149"/>
    </row>
    <row r="638" spans="1:13" s="4" customFormat="1" ht="35.1" customHeight="1" x14ac:dyDescent="0.3">
      <c r="A638" s="13">
        <v>153</v>
      </c>
      <c r="B638" s="14" t="s">
        <v>12</v>
      </c>
      <c r="C638" s="15" t="s">
        <v>637</v>
      </c>
      <c r="D638" s="16" t="s">
        <v>122</v>
      </c>
      <c r="E638" s="17">
        <v>1</v>
      </c>
      <c r="F638" s="18" t="s">
        <v>121</v>
      </c>
      <c r="G638" s="19"/>
      <c r="H638" s="20">
        <f t="shared" si="25"/>
        <v>0</v>
      </c>
      <c r="J638" s="139"/>
      <c r="K638" s="145"/>
      <c r="L638" s="139"/>
      <c r="M638" s="146"/>
    </row>
    <row r="639" spans="1:13" s="4" customFormat="1" ht="35.1" customHeight="1" x14ac:dyDescent="0.3">
      <c r="A639" s="13"/>
      <c r="B639" s="14"/>
      <c r="C639" s="15"/>
      <c r="D639" s="16"/>
      <c r="E639" s="17"/>
      <c r="F639" s="18"/>
      <c r="G639" s="19"/>
      <c r="H639" s="20"/>
      <c r="J639" s="139"/>
      <c r="K639" s="145"/>
      <c r="L639" s="139"/>
      <c r="M639" s="146"/>
    </row>
    <row r="640" spans="1:13" s="4" customFormat="1" ht="35.1" customHeight="1" x14ac:dyDescent="0.3">
      <c r="A640" s="13">
        <v>154</v>
      </c>
      <c r="B640" s="14" t="s">
        <v>12</v>
      </c>
      <c r="C640" s="15" t="s">
        <v>638</v>
      </c>
      <c r="D640" s="16" t="s">
        <v>639</v>
      </c>
      <c r="E640" s="17">
        <v>85</v>
      </c>
      <c r="F640" s="18" t="s">
        <v>66</v>
      </c>
      <c r="G640" s="19"/>
      <c r="H640" s="20">
        <f t="shared" ref="H640" si="26">E640*G640</f>
        <v>0</v>
      </c>
      <c r="J640" s="139"/>
      <c r="K640" s="145"/>
      <c r="L640" s="139"/>
      <c r="M640" s="146"/>
    </row>
    <row r="641" spans="1:13" s="29" customFormat="1" ht="35.1" customHeight="1" x14ac:dyDescent="0.3">
      <c r="A641" s="21"/>
      <c r="B641" s="22"/>
      <c r="C641" s="23"/>
      <c r="D641" s="24"/>
      <c r="E641" s="25"/>
      <c r="F641" s="26"/>
      <c r="G641" s="27"/>
      <c r="H641" s="28"/>
      <c r="J641" s="140"/>
      <c r="K641" s="145"/>
      <c r="L641" s="140"/>
      <c r="M641" s="149"/>
    </row>
    <row r="642" spans="1:13" s="71" customFormat="1" ht="35.1" customHeight="1" x14ac:dyDescent="0.2">
      <c r="A642" s="66"/>
      <c r="B642" s="67" t="s">
        <v>3</v>
      </c>
      <c r="C642" s="67" t="s">
        <v>25</v>
      </c>
      <c r="D642" s="67" t="s">
        <v>104</v>
      </c>
      <c r="E642" s="68"/>
      <c r="F642" s="67"/>
      <c r="G642" s="69"/>
      <c r="H642" s="70">
        <f>SUM(H597:H641)</f>
        <v>0</v>
      </c>
      <c r="J642" s="136"/>
      <c r="K642" s="145"/>
      <c r="L642" s="136"/>
      <c r="M642" s="138"/>
    </row>
    <row r="643" spans="1:13" s="71" customFormat="1" ht="35.1" customHeight="1" x14ac:dyDescent="0.2">
      <c r="A643" s="66"/>
      <c r="B643" s="67"/>
      <c r="C643" s="67"/>
      <c r="D643" s="67"/>
      <c r="E643" s="68"/>
      <c r="F643" s="67"/>
      <c r="G643" s="69"/>
      <c r="H643" s="70"/>
      <c r="J643" s="136"/>
      <c r="K643" s="145"/>
      <c r="L643" s="136"/>
      <c r="M643" s="138"/>
    </row>
    <row r="644" spans="1:13" s="71" customFormat="1" ht="35.1" customHeight="1" x14ac:dyDescent="0.2">
      <c r="A644" s="66"/>
      <c r="B644" s="67" t="s">
        <v>3</v>
      </c>
      <c r="C644" s="67" t="s">
        <v>123</v>
      </c>
      <c r="D644" s="67" t="s">
        <v>124</v>
      </c>
      <c r="E644" s="68"/>
      <c r="F644" s="67"/>
      <c r="G644" s="69"/>
      <c r="H644" s="70"/>
      <c r="J644" s="136"/>
      <c r="K644" s="145"/>
      <c r="L644" s="136"/>
      <c r="M644" s="138"/>
    </row>
    <row r="645" spans="1:13" s="4" customFormat="1" ht="35.1" customHeight="1" x14ac:dyDescent="0.3">
      <c r="A645" s="13">
        <v>155</v>
      </c>
      <c r="B645" s="14" t="s">
        <v>12</v>
      </c>
      <c r="C645" s="15" t="s">
        <v>125</v>
      </c>
      <c r="D645" s="16" t="s">
        <v>126</v>
      </c>
      <c r="E645" s="17">
        <f>E649</f>
        <v>68.981499999999997</v>
      </c>
      <c r="F645" s="18" t="s">
        <v>42</v>
      </c>
      <c r="G645" s="19"/>
      <c r="H645" s="20">
        <f>E645*G645</f>
        <v>0</v>
      </c>
      <c r="J645" s="139"/>
      <c r="K645" s="145"/>
      <c r="L645" s="139"/>
      <c r="M645" s="146"/>
    </row>
    <row r="646" spans="1:13" s="4" customFormat="1" ht="35.1" customHeight="1" x14ac:dyDescent="0.3">
      <c r="A646" s="13"/>
      <c r="B646" s="14"/>
      <c r="C646" s="15"/>
      <c r="D646" s="16" t="s">
        <v>307</v>
      </c>
      <c r="E646" s="17">
        <f>M24</f>
        <v>17.011500000000002</v>
      </c>
      <c r="F646" s="18" t="s">
        <v>42</v>
      </c>
      <c r="G646" s="19"/>
      <c r="H646" s="20"/>
      <c r="J646" s="139"/>
      <c r="K646" s="145"/>
      <c r="L646" s="139"/>
      <c r="M646" s="146"/>
    </row>
    <row r="647" spans="1:13" s="29" customFormat="1" ht="35.1" customHeight="1" x14ac:dyDescent="0.3">
      <c r="A647" s="21"/>
      <c r="B647" s="22"/>
      <c r="C647" s="23"/>
      <c r="D647" s="24" t="s">
        <v>195</v>
      </c>
      <c r="E647" s="25">
        <f>M9</f>
        <v>22.247999999999998</v>
      </c>
      <c r="F647" s="26" t="s">
        <v>42</v>
      </c>
      <c r="G647" s="27"/>
      <c r="H647" s="20"/>
      <c r="J647" s="140"/>
      <c r="K647" s="145"/>
      <c r="L647" s="140"/>
      <c r="M647" s="149"/>
    </row>
    <row r="648" spans="1:13" s="29" customFormat="1" ht="35.1" customHeight="1" x14ac:dyDescent="0.3">
      <c r="A648" s="21"/>
      <c r="B648" s="22"/>
      <c r="C648" s="23"/>
      <c r="D648" s="24" t="s">
        <v>196</v>
      </c>
      <c r="E648" s="25">
        <f>M12</f>
        <v>29.721999999999998</v>
      </c>
      <c r="F648" s="26" t="s">
        <v>42</v>
      </c>
      <c r="G648" s="27"/>
      <c r="H648" s="20"/>
      <c r="J648" s="140"/>
      <c r="K648" s="145"/>
      <c r="L648" s="140"/>
      <c r="M648" s="149"/>
    </row>
    <row r="649" spans="1:13" s="29" customFormat="1" ht="35.1" customHeight="1" x14ac:dyDescent="0.3">
      <c r="A649" s="21"/>
      <c r="B649" s="22"/>
      <c r="C649" s="23"/>
      <c r="D649" s="121" t="s">
        <v>273</v>
      </c>
      <c r="E649" s="122">
        <f>SUM(E646:E648)</f>
        <v>68.981499999999997</v>
      </c>
      <c r="F649" s="123" t="s">
        <v>42</v>
      </c>
      <c r="G649" s="27"/>
      <c r="H649" s="20"/>
      <c r="J649" s="140"/>
      <c r="K649" s="145"/>
      <c r="L649" s="140"/>
      <c r="M649" s="149"/>
    </row>
    <row r="650" spans="1:13" s="29" customFormat="1" ht="35.1" customHeight="1" x14ac:dyDescent="0.3">
      <c r="A650" s="21"/>
      <c r="B650" s="22"/>
      <c r="C650" s="23"/>
      <c r="D650" s="24"/>
      <c r="E650" s="25"/>
      <c r="F650" s="26"/>
      <c r="G650" s="27"/>
      <c r="H650" s="20"/>
      <c r="J650" s="140"/>
      <c r="K650" s="145"/>
      <c r="L650" s="140"/>
      <c r="M650" s="149"/>
    </row>
    <row r="651" spans="1:13" s="4" customFormat="1" ht="35.1" customHeight="1" x14ac:dyDescent="0.3">
      <c r="A651" s="13">
        <v>156</v>
      </c>
      <c r="B651" s="14" t="s">
        <v>12</v>
      </c>
      <c r="C651" s="15" t="s">
        <v>127</v>
      </c>
      <c r="D651" s="16" t="s">
        <v>128</v>
      </c>
      <c r="E651" s="17">
        <f>E652</f>
        <v>51.97</v>
      </c>
      <c r="F651" s="18" t="s">
        <v>42</v>
      </c>
      <c r="G651" s="19"/>
      <c r="H651" s="20">
        <f t="shared" ref="H651:H671" si="27">E651*G651</f>
        <v>0</v>
      </c>
      <c r="J651" s="139"/>
      <c r="K651" s="145"/>
      <c r="L651" s="139"/>
      <c r="M651" s="146"/>
    </row>
    <row r="652" spans="1:13" s="29" customFormat="1" ht="35.1" customHeight="1" x14ac:dyDescent="0.3">
      <c r="A652" s="21"/>
      <c r="B652" s="22"/>
      <c r="C652" s="23" t="s">
        <v>0</v>
      </c>
      <c r="D652" s="24" t="s">
        <v>462</v>
      </c>
      <c r="E652" s="25">
        <f>E648+E647</f>
        <v>51.97</v>
      </c>
      <c r="F652" s="26" t="s">
        <v>42</v>
      </c>
      <c r="G652" s="27"/>
      <c r="H652" s="20"/>
      <c r="J652" s="140"/>
      <c r="K652" s="145"/>
      <c r="L652" s="140"/>
      <c r="M652" s="149"/>
    </row>
    <row r="653" spans="1:13" s="29" customFormat="1" ht="35.1" customHeight="1" x14ac:dyDescent="0.3">
      <c r="A653" s="21"/>
      <c r="B653" s="22"/>
      <c r="C653" s="23"/>
      <c r="D653" s="24"/>
      <c r="E653" s="25"/>
      <c r="F653" s="26"/>
      <c r="G653" s="27"/>
      <c r="H653" s="20"/>
      <c r="J653" s="140"/>
      <c r="K653" s="145"/>
      <c r="L653" s="140"/>
      <c r="M653" s="149"/>
    </row>
    <row r="654" spans="1:13" s="4" customFormat="1" ht="35.1" customHeight="1" x14ac:dyDescent="0.3">
      <c r="A654" s="13">
        <v>157</v>
      </c>
      <c r="B654" s="14" t="s">
        <v>12</v>
      </c>
      <c r="C654" s="15" t="s">
        <v>129</v>
      </c>
      <c r="D654" s="16" t="s">
        <v>130</v>
      </c>
      <c r="E654" s="17">
        <f>E655</f>
        <v>727.57999999999993</v>
      </c>
      <c r="F654" s="18" t="s">
        <v>42</v>
      </c>
      <c r="G654" s="19"/>
      <c r="H654" s="20">
        <f t="shared" si="27"/>
        <v>0</v>
      </c>
      <c r="J654" s="139"/>
      <c r="K654" s="145"/>
      <c r="L654" s="139"/>
      <c r="M654" s="146"/>
    </row>
    <row r="655" spans="1:13" s="29" customFormat="1" ht="35.1" customHeight="1" x14ac:dyDescent="0.3">
      <c r="A655" s="21"/>
      <c r="B655" s="22"/>
      <c r="C655" s="23" t="s">
        <v>0</v>
      </c>
      <c r="D655" s="24" t="s">
        <v>463</v>
      </c>
      <c r="E655" s="25">
        <f>14*(22.248+29.722)</f>
        <v>727.57999999999993</v>
      </c>
      <c r="F655" s="26"/>
      <c r="G655" s="27"/>
      <c r="H655" s="20"/>
      <c r="J655" s="140"/>
      <c r="K655" s="145"/>
      <c r="L655" s="140"/>
      <c r="M655" s="149"/>
    </row>
    <row r="656" spans="1:13" s="4" customFormat="1" ht="35.1" customHeight="1" x14ac:dyDescent="0.3">
      <c r="A656" s="13">
        <v>158</v>
      </c>
      <c r="B656" s="14" t="s">
        <v>12</v>
      </c>
      <c r="C656" s="15" t="s">
        <v>131</v>
      </c>
      <c r="D656" s="16" t="s">
        <v>132</v>
      </c>
      <c r="E656" s="17">
        <f>E657</f>
        <v>51.97</v>
      </c>
      <c r="F656" s="18" t="s">
        <v>42</v>
      </c>
      <c r="G656" s="19"/>
      <c r="H656" s="20">
        <f t="shared" si="27"/>
        <v>0</v>
      </c>
      <c r="J656" s="139"/>
      <c r="K656" s="145"/>
      <c r="L656" s="139"/>
      <c r="M656" s="146"/>
    </row>
    <row r="657" spans="1:13" s="29" customFormat="1" ht="35.1" customHeight="1" x14ac:dyDescent="0.3">
      <c r="A657" s="21"/>
      <c r="B657" s="22"/>
      <c r="C657" s="23"/>
      <c r="D657" s="24" t="s">
        <v>462</v>
      </c>
      <c r="E657" s="25">
        <f>E653+E652</f>
        <v>51.97</v>
      </c>
      <c r="F657" s="26" t="s">
        <v>42</v>
      </c>
      <c r="G657" s="27"/>
      <c r="H657" s="20"/>
      <c r="J657" s="140"/>
      <c r="K657" s="145"/>
      <c r="L657" s="140"/>
      <c r="M657" s="149"/>
    </row>
    <row r="658" spans="1:13" s="29" customFormat="1" ht="35.1" customHeight="1" x14ac:dyDescent="0.3">
      <c r="A658" s="21"/>
      <c r="B658" s="22"/>
      <c r="C658" s="23"/>
      <c r="D658" s="24"/>
      <c r="E658" s="25"/>
      <c r="F658" s="26"/>
      <c r="G658" s="27"/>
      <c r="H658" s="20"/>
      <c r="J658" s="140"/>
      <c r="K658" s="145"/>
      <c r="L658" s="140"/>
      <c r="M658" s="149"/>
    </row>
    <row r="659" spans="1:13" s="4" customFormat="1" ht="35.1" customHeight="1" x14ac:dyDescent="0.3">
      <c r="A659" s="13">
        <v>159</v>
      </c>
      <c r="B659" s="14" t="s">
        <v>12</v>
      </c>
      <c r="C659" s="15" t="s">
        <v>133</v>
      </c>
      <c r="D659" s="16" t="s">
        <v>134</v>
      </c>
      <c r="E659" s="17">
        <f>E660</f>
        <v>17.011500000000002</v>
      </c>
      <c r="F659" s="18" t="s">
        <v>42</v>
      </c>
      <c r="G659" s="19"/>
      <c r="H659" s="20">
        <f t="shared" si="27"/>
        <v>0</v>
      </c>
      <c r="J659" s="139"/>
      <c r="K659" s="145"/>
      <c r="L659" s="139"/>
      <c r="M659" s="146"/>
    </row>
    <row r="660" spans="1:13" s="29" customFormat="1" ht="35.1" customHeight="1" x14ac:dyDescent="0.3">
      <c r="A660" s="21"/>
      <c r="B660" s="22"/>
      <c r="C660" s="23" t="s">
        <v>0</v>
      </c>
      <c r="D660" s="200">
        <f>E646</f>
        <v>17.011500000000002</v>
      </c>
      <c r="E660" s="25">
        <f>D660</f>
        <v>17.011500000000002</v>
      </c>
      <c r="F660" s="26" t="s">
        <v>42</v>
      </c>
      <c r="G660" s="27"/>
      <c r="H660" s="20"/>
      <c r="J660" s="140"/>
      <c r="K660" s="145"/>
      <c r="L660" s="140"/>
      <c r="M660" s="149"/>
    </row>
    <row r="661" spans="1:13" s="29" customFormat="1" ht="35.1" customHeight="1" x14ac:dyDescent="0.3">
      <c r="A661" s="21"/>
      <c r="B661" s="22"/>
      <c r="C661" s="23"/>
      <c r="D661" s="200"/>
      <c r="E661" s="25"/>
      <c r="F661" s="26"/>
      <c r="G661" s="27"/>
      <c r="H661" s="20"/>
      <c r="J661" s="140"/>
      <c r="K661" s="145"/>
      <c r="L661" s="140"/>
      <c r="M661" s="149"/>
    </row>
    <row r="662" spans="1:13" s="4" customFormat="1" ht="35.1" customHeight="1" x14ac:dyDescent="0.3">
      <c r="A662" s="13">
        <v>160</v>
      </c>
      <c r="B662" s="14" t="s">
        <v>12</v>
      </c>
      <c r="C662" s="15" t="s">
        <v>135</v>
      </c>
      <c r="D662" s="16" t="s">
        <v>136</v>
      </c>
      <c r="E662" s="17">
        <f>E663</f>
        <v>238.16800000000001</v>
      </c>
      <c r="F662" s="18" t="s">
        <v>42</v>
      </c>
      <c r="G662" s="19"/>
      <c r="H662" s="20">
        <f t="shared" si="27"/>
        <v>0</v>
      </c>
      <c r="J662" s="139"/>
      <c r="K662" s="145"/>
      <c r="L662" s="139"/>
      <c r="M662" s="146"/>
    </row>
    <row r="663" spans="1:13" s="4" customFormat="1" ht="35.1" customHeight="1" x14ac:dyDescent="0.3">
      <c r="A663" s="13"/>
      <c r="B663" s="14"/>
      <c r="C663" s="15"/>
      <c r="D663" s="201" t="s">
        <v>464</v>
      </c>
      <c r="E663" s="17">
        <f>14*17.012</f>
        <v>238.16800000000001</v>
      </c>
      <c r="F663" s="18" t="s">
        <v>42</v>
      </c>
      <c r="G663" s="19"/>
      <c r="H663" s="20"/>
      <c r="J663" s="139"/>
      <c r="K663" s="145"/>
      <c r="L663" s="139"/>
      <c r="M663" s="146"/>
    </row>
    <row r="664" spans="1:13" s="29" customFormat="1" ht="35.1" customHeight="1" x14ac:dyDescent="0.3">
      <c r="A664" s="21"/>
      <c r="B664" s="22"/>
      <c r="C664" s="23"/>
      <c r="D664" s="24"/>
      <c r="E664" s="25"/>
      <c r="F664" s="26"/>
      <c r="G664" s="27"/>
      <c r="H664" s="20"/>
      <c r="J664" s="140"/>
      <c r="K664" s="145"/>
      <c r="L664" s="140"/>
      <c r="M664" s="149"/>
    </row>
    <row r="665" spans="1:13" s="4" customFormat="1" ht="35.1" customHeight="1" x14ac:dyDescent="0.3">
      <c r="A665" s="13">
        <v>161</v>
      </c>
      <c r="B665" s="14" t="s">
        <v>12</v>
      </c>
      <c r="C665" s="15" t="s">
        <v>137</v>
      </c>
      <c r="D665" s="16" t="s">
        <v>138</v>
      </c>
      <c r="E665" s="17">
        <f>E666</f>
        <v>22.247999999999998</v>
      </c>
      <c r="F665" s="18" t="s">
        <v>42</v>
      </c>
      <c r="G665" s="19"/>
      <c r="H665" s="20">
        <f t="shared" si="27"/>
        <v>0</v>
      </c>
      <c r="J665" s="139"/>
      <c r="K665" s="145"/>
      <c r="L665" s="139"/>
      <c r="M665" s="146"/>
    </row>
    <row r="666" spans="1:13" s="29" customFormat="1" ht="35.1" customHeight="1" x14ac:dyDescent="0.3">
      <c r="A666" s="21"/>
      <c r="B666" s="22"/>
      <c r="C666" s="23" t="s">
        <v>0</v>
      </c>
      <c r="D666" s="200" t="str">
        <f>D647</f>
        <v>odstranění betonů</v>
      </c>
      <c r="E666" s="25">
        <f>E647</f>
        <v>22.247999999999998</v>
      </c>
      <c r="F666" s="26" t="s">
        <v>42</v>
      </c>
      <c r="G666" s="27"/>
      <c r="H666" s="20"/>
      <c r="J666" s="140"/>
      <c r="K666" s="145"/>
      <c r="L666" s="140"/>
      <c r="M666" s="149"/>
    </row>
    <row r="667" spans="1:13" s="29" customFormat="1" ht="35.1" customHeight="1" x14ac:dyDescent="0.3">
      <c r="A667" s="21"/>
      <c r="B667" s="22"/>
      <c r="C667" s="23"/>
      <c r="D667" s="24"/>
      <c r="E667" s="25"/>
      <c r="F667" s="26"/>
      <c r="G667" s="27"/>
      <c r="H667" s="20"/>
      <c r="J667" s="140"/>
      <c r="K667" s="145"/>
      <c r="L667" s="140"/>
      <c r="M667" s="149"/>
    </row>
    <row r="668" spans="1:13" s="4" customFormat="1" ht="35.1" customHeight="1" x14ac:dyDescent="0.3">
      <c r="A668" s="13">
        <v>162</v>
      </c>
      <c r="B668" s="14" t="s">
        <v>12</v>
      </c>
      <c r="C668" s="15" t="s">
        <v>139</v>
      </c>
      <c r="D668" s="16" t="s">
        <v>140</v>
      </c>
      <c r="E668" s="17">
        <f>E669</f>
        <v>17.011500000000002</v>
      </c>
      <c r="F668" s="18" t="s">
        <v>42</v>
      </c>
      <c r="G668" s="19"/>
      <c r="H668" s="20">
        <f t="shared" si="27"/>
        <v>0</v>
      </c>
      <c r="J668" s="139"/>
      <c r="K668" s="145"/>
      <c r="L668" s="139"/>
      <c r="M668" s="146"/>
    </row>
    <row r="669" spans="1:13" s="29" customFormat="1" ht="35.1" customHeight="1" x14ac:dyDescent="0.3">
      <c r="A669" s="21"/>
      <c r="B669" s="22"/>
      <c r="C669" s="23" t="s">
        <v>0</v>
      </c>
      <c r="D669" s="16" t="s">
        <v>307</v>
      </c>
      <c r="E669" s="17">
        <f>E646</f>
        <v>17.011500000000002</v>
      </c>
      <c r="F669" s="18" t="s">
        <v>42</v>
      </c>
      <c r="G669" s="27"/>
      <c r="H669" s="20"/>
      <c r="J669" s="140"/>
      <c r="K669" s="145"/>
      <c r="L669" s="140"/>
      <c r="M669" s="149"/>
    </row>
    <row r="670" spans="1:13" s="29" customFormat="1" ht="35.1" customHeight="1" x14ac:dyDescent="0.3">
      <c r="A670" s="21"/>
      <c r="B670" s="22"/>
      <c r="C670" s="23"/>
      <c r="D670" s="16"/>
      <c r="E670" s="17"/>
      <c r="F670" s="18"/>
      <c r="G670" s="27"/>
      <c r="H670" s="20"/>
      <c r="J670" s="140"/>
      <c r="K670" s="145"/>
      <c r="L670" s="140"/>
      <c r="M670" s="149"/>
    </row>
    <row r="671" spans="1:13" s="4" customFormat="1" ht="35.1" customHeight="1" x14ac:dyDescent="0.3">
      <c r="A671" s="13">
        <v>163</v>
      </c>
      <c r="B671" s="14" t="s">
        <v>12</v>
      </c>
      <c r="C671" s="15" t="s">
        <v>141</v>
      </c>
      <c r="D671" s="16" t="s">
        <v>142</v>
      </c>
      <c r="E671" s="17">
        <f>E672</f>
        <v>29.721999999999998</v>
      </c>
      <c r="F671" s="18" t="s">
        <v>42</v>
      </c>
      <c r="G671" s="19"/>
      <c r="H671" s="20">
        <f t="shared" si="27"/>
        <v>0</v>
      </c>
      <c r="J671" s="139"/>
      <c r="K671" s="145"/>
      <c r="L671" s="139"/>
      <c r="M671" s="146"/>
    </row>
    <row r="672" spans="1:13" s="29" customFormat="1" ht="35.1" customHeight="1" x14ac:dyDescent="0.3">
      <c r="A672" s="21"/>
      <c r="B672" s="22"/>
      <c r="C672" s="23" t="s">
        <v>0</v>
      </c>
      <c r="D672" s="24" t="s">
        <v>196</v>
      </c>
      <c r="E672" s="25">
        <f>E648</f>
        <v>29.721999999999998</v>
      </c>
      <c r="F672" s="26" t="s">
        <v>42</v>
      </c>
      <c r="G672" s="27"/>
      <c r="H672" s="28"/>
      <c r="J672" s="140"/>
      <c r="K672" s="145"/>
      <c r="L672" s="140"/>
      <c r="M672" s="149"/>
    </row>
    <row r="673" spans="1:13" s="71" customFormat="1" ht="35.1" customHeight="1" x14ac:dyDescent="0.2">
      <c r="A673" s="66"/>
      <c r="B673" s="67" t="s">
        <v>3</v>
      </c>
      <c r="C673" s="67" t="s">
        <v>123</v>
      </c>
      <c r="D673" s="67" t="s">
        <v>124</v>
      </c>
      <c r="E673" s="68"/>
      <c r="F673" s="67"/>
      <c r="G673" s="69"/>
      <c r="H673" s="70">
        <f>SUM(H645:H672)</f>
        <v>0</v>
      </c>
      <c r="J673" s="136"/>
      <c r="K673" s="145"/>
      <c r="L673" s="136"/>
      <c r="M673" s="138"/>
    </row>
    <row r="674" spans="1:13" s="62" customFormat="1" ht="35.1" customHeight="1" x14ac:dyDescent="0.25">
      <c r="A674" s="56"/>
      <c r="B674" s="57"/>
      <c r="C674" s="58"/>
      <c r="D674" s="58"/>
      <c r="E674" s="59"/>
      <c r="F674" s="57"/>
      <c r="G674" s="60"/>
      <c r="H674" s="61"/>
      <c r="J674" s="150"/>
      <c r="K674" s="145"/>
      <c r="L674" s="150"/>
      <c r="M674" s="151"/>
    </row>
    <row r="675" spans="1:13" s="71" customFormat="1" ht="35.1" customHeight="1" x14ac:dyDescent="0.2">
      <c r="A675" s="66"/>
      <c r="B675" s="67" t="s">
        <v>3</v>
      </c>
      <c r="C675" s="67" t="s">
        <v>143</v>
      </c>
      <c r="D675" s="67" t="s">
        <v>144</v>
      </c>
      <c r="E675" s="68"/>
      <c r="F675" s="67"/>
      <c r="G675" s="69"/>
      <c r="H675" s="70"/>
      <c r="J675" s="136"/>
      <c r="K675" s="145"/>
      <c r="L675" s="136"/>
      <c r="M675" s="138"/>
    </row>
    <row r="676" spans="1:13" s="4" customFormat="1" ht="35.1" customHeight="1" x14ac:dyDescent="0.3">
      <c r="A676" s="13">
        <v>164</v>
      </c>
      <c r="B676" s="14" t="s">
        <v>12</v>
      </c>
      <c r="C676" s="15" t="s">
        <v>145</v>
      </c>
      <c r="D676" s="16" t="s">
        <v>146</v>
      </c>
      <c r="E676" s="17">
        <v>1183.6199999999999</v>
      </c>
      <c r="F676" s="18" t="s">
        <v>42</v>
      </c>
      <c r="G676" s="19"/>
      <c r="H676" s="20">
        <f>E676*G676</f>
        <v>0</v>
      </c>
      <c r="J676" s="139"/>
      <c r="K676" s="145"/>
      <c r="L676" s="139"/>
      <c r="M676" s="164"/>
    </row>
    <row r="677" spans="1:13" s="71" customFormat="1" ht="35.1" customHeight="1" x14ac:dyDescent="0.2">
      <c r="A677" s="66"/>
      <c r="B677" s="67" t="s">
        <v>3</v>
      </c>
      <c r="C677" s="67" t="s">
        <v>143</v>
      </c>
      <c r="D677" s="67" t="s">
        <v>173</v>
      </c>
      <c r="E677" s="68"/>
      <c r="F677" s="67"/>
      <c r="G677" s="69"/>
      <c r="H677" s="70">
        <f>SUM(H676)</f>
        <v>0</v>
      </c>
      <c r="J677" s="136"/>
      <c r="K677" s="145"/>
      <c r="L677" s="136"/>
      <c r="M677" s="138"/>
    </row>
    <row r="678" spans="1:13" s="71" customFormat="1" ht="35.1" customHeight="1" thickBot="1" x14ac:dyDescent="0.25">
      <c r="A678" s="79"/>
      <c r="B678" s="77"/>
      <c r="C678" s="77"/>
      <c r="D678" s="77"/>
      <c r="E678" s="82"/>
      <c r="F678" s="77"/>
      <c r="G678" s="78"/>
      <c r="H678" s="85"/>
      <c r="J678" s="136"/>
      <c r="K678" s="145"/>
      <c r="L678" s="136"/>
      <c r="M678" s="138"/>
    </row>
    <row r="679" spans="1:13" s="71" customFormat="1" ht="35.1" customHeight="1" thickBot="1" x14ac:dyDescent="0.25">
      <c r="A679" s="83"/>
      <c r="B679" s="80"/>
      <c r="C679" s="80"/>
      <c r="D679" s="80" t="s">
        <v>227</v>
      </c>
      <c r="E679" s="84"/>
      <c r="F679" s="80"/>
      <c r="G679" s="81"/>
      <c r="H679" s="86">
        <f>H234+H270+H302+H594+H642+H673+H677</f>
        <v>0</v>
      </c>
      <c r="J679" s="152"/>
      <c r="K679" s="153">
        <f>SUM(K9:K678)</f>
        <v>1183.6132094339093</v>
      </c>
      <c r="L679" s="152"/>
      <c r="M679" s="154"/>
    </row>
  </sheetData>
  <mergeCells count="1">
    <mergeCell ref="A5:H5"/>
  </mergeCells>
  <printOptions horizontalCentered="1"/>
  <pageMargins left="0.19685039370078741" right="0.19685039370078741" top="0.19685039370078741" bottom="0.39370078740157483" header="0" footer="0"/>
  <pageSetup paperSize="8" scale="86" fitToHeight="21" orientation="portrait" blackAndWhite="1" r:id="rId1"/>
  <headerFooter>
    <oddFooter>&amp;CStrana &amp;P z &amp;N</oddFooter>
  </headerFooter>
  <rowBreaks count="4" manualBreakCount="4">
    <brk id="190" max="7" man="1"/>
    <brk id="315" max="7" man="1"/>
    <brk id="445" max="7" man="1"/>
    <brk id="64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115" zoomScaleNormal="115" workbookViewId="0">
      <selection activeCell="D21" sqref="D21"/>
    </sheetView>
  </sheetViews>
  <sheetFormatPr defaultRowHeight="11.25" x14ac:dyDescent="0.2"/>
  <cols>
    <col min="1" max="1" width="4.1640625" style="232" customWidth="1"/>
    <col min="2" max="2" width="5.83203125" style="232" customWidth="1"/>
    <col min="3" max="3" width="17.1640625" style="232" customWidth="1"/>
    <col min="4" max="4" width="75" style="232" customWidth="1"/>
    <col min="5" max="5" width="11.1640625" style="233" customWidth="1"/>
    <col min="6" max="6" width="8.6640625" style="234" customWidth="1"/>
    <col min="7" max="7" width="15.83203125" style="235" customWidth="1"/>
    <col min="8" max="8" width="23.5" style="236" customWidth="1"/>
    <col min="9" max="16384" width="9.33203125" style="232"/>
  </cols>
  <sheetData>
    <row r="1" spans="1:8" s="46" customFormat="1" ht="18" x14ac:dyDescent="0.25">
      <c r="A1" s="44" t="s">
        <v>218</v>
      </c>
      <c r="B1" s="45"/>
      <c r="E1" s="47"/>
      <c r="F1" s="48"/>
      <c r="G1" s="49"/>
      <c r="H1" s="49"/>
    </row>
    <row r="2" spans="1:8" s="46" customFormat="1" ht="18" x14ac:dyDescent="0.25">
      <c r="A2" s="44" t="s">
        <v>175</v>
      </c>
      <c r="B2" s="76"/>
    </row>
    <row r="3" spans="1:8" s="46" customFormat="1" ht="18" x14ac:dyDescent="0.25">
      <c r="A3" s="63"/>
      <c r="B3" s="63"/>
      <c r="C3" s="76"/>
      <c r="D3" s="76"/>
      <c r="E3" s="76"/>
      <c r="F3" s="76"/>
    </row>
    <row r="4" spans="1:8" s="4" customFormat="1" ht="18.75" thickBot="1" x14ac:dyDescent="0.35">
      <c r="A4" s="53" t="s">
        <v>619</v>
      </c>
      <c r="E4" s="208"/>
      <c r="F4" s="208"/>
      <c r="G4" s="209"/>
      <c r="H4" s="210"/>
    </row>
    <row r="5" spans="1:8" s="4" customFormat="1" ht="24.95" customHeight="1" thickBot="1" x14ac:dyDescent="0.35">
      <c r="A5" s="264" t="s">
        <v>174</v>
      </c>
      <c r="B5" s="265"/>
      <c r="C5" s="265"/>
      <c r="D5" s="265"/>
      <c r="E5" s="265"/>
      <c r="F5" s="265"/>
      <c r="G5" s="265"/>
      <c r="H5" s="266"/>
    </row>
    <row r="6" spans="1:8" s="217" customFormat="1" ht="24.95" customHeight="1" x14ac:dyDescent="0.3">
      <c r="A6" s="211" t="s">
        <v>5</v>
      </c>
      <c r="B6" s="212" t="s">
        <v>2</v>
      </c>
      <c r="C6" s="212" t="s">
        <v>1</v>
      </c>
      <c r="D6" s="212" t="s">
        <v>6</v>
      </c>
      <c r="E6" s="213" t="s">
        <v>8</v>
      </c>
      <c r="F6" s="214" t="s">
        <v>7</v>
      </c>
      <c r="G6" s="215" t="s">
        <v>580</v>
      </c>
      <c r="H6" s="216" t="s">
        <v>581</v>
      </c>
    </row>
    <row r="7" spans="1:8" s="71" customFormat="1" ht="24.95" customHeight="1" x14ac:dyDescent="0.2">
      <c r="A7" s="66"/>
      <c r="B7" s="67" t="s">
        <v>3</v>
      </c>
      <c r="C7" s="67" t="s">
        <v>582</v>
      </c>
      <c r="D7" s="67" t="s">
        <v>583</v>
      </c>
      <c r="E7" s="218"/>
      <c r="F7" s="218"/>
      <c r="G7" s="69"/>
      <c r="H7" s="219"/>
    </row>
    <row r="8" spans="1:8" s="71" customFormat="1" ht="24.95" customHeight="1" x14ac:dyDescent="0.2">
      <c r="A8" s="66"/>
      <c r="B8" s="67" t="s">
        <v>3</v>
      </c>
      <c r="C8" s="67" t="s">
        <v>584</v>
      </c>
      <c r="D8" s="67" t="s">
        <v>585</v>
      </c>
      <c r="E8" s="218"/>
      <c r="F8" s="218"/>
      <c r="G8" s="69"/>
      <c r="H8" s="219"/>
    </row>
    <row r="9" spans="1:8" s="55" customFormat="1" ht="24.95" customHeight="1" x14ac:dyDescent="0.3">
      <c r="A9" s="220" t="s">
        <v>4</v>
      </c>
      <c r="B9" s="221" t="s">
        <v>12</v>
      </c>
      <c r="C9" s="222" t="s">
        <v>586</v>
      </c>
      <c r="D9" s="223" t="s">
        <v>587</v>
      </c>
      <c r="E9" s="224">
        <v>1</v>
      </c>
      <c r="F9" s="225" t="s">
        <v>588</v>
      </c>
      <c r="G9" s="226"/>
      <c r="H9" s="227">
        <f>E9*G9</f>
        <v>0</v>
      </c>
    </row>
    <row r="10" spans="1:8" s="55" customFormat="1" ht="24.95" customHeight="1" x14ac:dyDescent="0.3">
      <c r="A10" s="220" t="s">
        <v>589</v>
      </c>
      <c r="B10" s="221" t="s">
        <v>12</v>
      </c>
      <c r="C10" s="222" t="s">
        <v>590</v>
      </c>
      <c r="D10" s="223" t="s">
        <v>591</v>
      </c>
      <c r="E10" s="224">
        <v>1</v>
      </c>
      <c r="F10" s="225" t="s">
        <v>588</v>
      </c>
      <c r="G10" s="226"/>
      <c r="H10" s="227">
        <f t="shared" ref="H10:H15" si="0">E10*G10</f>
        <v>0</v>
      </c>
    </row>
    <row r="11" spans="1:8" s="55" customFormat="1" ht="24.95" customHeight="1" x14ac:dyDescent="0.3">
      <c r="A11" s="220" t="s">
        <v>592</v>
      </c>
      <c r="B11" s="221" t="s">
        <v>12</v>
      </c>
      <c r="C11" s="222" t="s">
        <v>593</v>
      </c>
      <c r="D11" s="223" t="s">
        <v>640</v>
      </c>
      <c r="E11" s="224">
        <v>1</v>
      </c>
      <c r="F11" s="225" t="s">
        <v>588</v>
      </c>
      <c r="G11" s="226"/>
      <c r="H11" s="227">
        <f t="shared" si="0"/>
        <v>0</v>
      </c>
    </row>
    <row r="12" spans="1:8" s="55" customFormat="1" ht="24.95" customHeight="1" x14ac:dyDescent="0.3">
      <c r="A12" s="220" t="s">
        <v>14</v>
      </c>
      <c r="B12" s="221" t="s">
        <v>12</v>
      </c>
      <c r="C12" s="222" t="s">
        <v>594</v>
      </c>
      <c r="D12" s="223" t="s">
        <v>595</v>
      </c>
      <c r="E12" s="224">
        <v>1</v>
      </c>
      <c r="F12" s="225" t="s">
        <v>588</v>
      </c>
      <c r="G12" s="226"/>
      <c r="H12" s="227">
        <f t="shared" si="0"/>
        <v>0</v>
      </c>
    </row>
    <row r="13" spans="1:8" s="55" customFormat="1" ht="24.95" customHeight="1" x14ac:dyDescent="0.3">
      <c r="A13" s="220">
        <v>5</v>
      </c>
      <c r="B13" s="221" t="s">
        <v>12</v>
      </c>
      <c r="C13" s="222" t="s">
        <v>596</v>
      </c>
      <c r="D13" s="223" t="s">
        <v>597</v>
      </c>
      <c r="E13" s="224">
        <v>1</v>
      </c>
      <c r="F13" s="225" t="s">
        <v>588</v>
      </c>
      <c r="G13" s="226"/>
      <c r="H13" s="227">
        <f t="shared" si="0"/>
        <v>0</v>
      </c>
    </row>
    <row r="14" spans="1:8" s="55" customFormat="1" ht="24.95" customHeight="1" x14ac:dyDescent="0.3">
      <c r="A14" s="220">
        <v>6</v>
      </c>
      <c r="B14" s="221" t="s">
        <v>12</v>
      </c>
      <c r="C14" s="222" t="s">
        <v>613</v>
      </c>
      <c r="D14" s="223" t="s">
        <v>606</v>
      </c>
      <c r="E14" s="224">
        <v>1</v>
      </c>
      <c r="F14" s="225" t="s">
        <v>588</v>
      </c>
      <c r="G14" s="226"/>
      <c r="H14" s="227">
        <f t="shared" si="0"/>
        <v>0</v>
      </c>
    </row>
    <row r="15" spans="1:8" s="55" customFormat="1" ht="24.95" customHeight="1" x14ac:dyDescent="0.3">
      <c r="A15" s="220">
        <v>7</v>
      </c>
      <c r="B15" s="221" t="s">
        <v>12</v>
      </c>
      <c r="C15" s="222" t="s">
        <v>614</v>
      </c>
      <c r="D15" s="223" t="s">
        <v>615</v>
      </c>
      <c r="E15" s="224">
        <v>1</v>
      </c>
      <c r="F15" s="225" t="s">
        <v>588</v>
      </c>
      <c r="G15" s="226"/>
      <c r="H15" s="227">
        <f t="shared" si="0"/>
        <v>0</v>
      </c>
    </row>
    <row r="16" spans="1:8" s="71" customFormat="1" ht="24.95" customHeight="1" x14ac:dyDescent="0.2">
      <c r="A16" s="66"/>
      <c r="B16" s="67"/>
      <c r="C16" s="67" t="s">
        <v>584</v>
      </c>
      <c r="D16" s="67" t="s">
        <v>598</v>
      </c>
      <c r="E16" s="218"/>
      <c r="F16" s="218"/>
      <c r="G16" s="69"/>
      <c r="H16" s="219">
        <f>SUM(H9:H15)</f>
        <v>0</v>
      </c>
    </row>
    <row r="17" spans="1:8" s="71" customFormat="1" ht="24.95" customHeight="1" thickBot="1" x14ac:dyDescent="0.25">
      <c r="A17" s="79"/>
      <c r="B17" s="77"/>
      <c r="C17" s="77"/>
      <c r="D17" s="77"/>
      <c r="E17" s="228"/>
      <c r="F17" s="228"/>
      <c r="G17" s="78"/>
      <c r="H17" s="229"/>
    </row>
    <row r="18" spans="1:8" s="71" customFormat="1" ht="24.95" customHeight="1" thickBot="1" x14ac:dyDescent="0.25">
      <c r="A18" s="83"/>
      <c r="B18" s="80"/>
      <c r="C18" s="80"/>
      <c r="D18" s="80" t="s">
        <v>599</v>
      </c>
      <c r="E18" s="230"/>
      <c r="F18" s="230"/>
      <c r="G18" s="81"/>
      <c r="H18" s="231">
        <f>H16</f>
        <v>0</v>
      </c>
    </row>
    <row r="19" spans="1:8" ht="24.95" customHeight="1" x14ac:dyDescent="0.2"/>
  </sheetData>
  <mergeCells count="1">
    <mergeCell ref="A5:H5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</vt:lpstr>
      <vt:lpstr>VÝMĚNA V+K</vt:lpstr>
      <vt:lpstr>VRN_Vedlejší rozpočtové náklady</vt:lpstr>
      <vt:lpstr>Rekapitulace!Oblast_tisku</vt:lpstr>
      <vt:lpstr>'VRN_Vedlejší rozpočtové náklady'!Oblast_tisku</vt:lpstr>
      <vt:lpstr>'VÝMĚNA V+K'!Oblast_tisku</vt:lpstr>
      <vt:lpstr>'VÝMĚNA V+K'!Print_Titles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Jícha</dc:creator>
  <cp:lastModifiedBy>Cermak Petr</cp:lastModifiedBy>
  <cp:lastPrinted>2019-05-20T07:29:48Z</cp:lastPrinted>
  <dcterms:created xsi:type="dcterms:W3CDTF">2018-05-28T11:08:02Z</dcterms:created>
  <dcterms:modified xsi:type="dcterms:W3CDTF">2019-06-07T08:32:59Z</dcterms:modified>
</cp:coreProperties>
</file>