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505" yWindow="-15" windowWidth="14310" windowHeight="12540"/>
  </bookViews>
  <sheets>
    <sheet name="Rekapitulace" sheetId="4" r:id="rId1"/>
    <sheet name="VÝMĚNA V+K" sheetId="2" r:id="rId2"/>
    <sheet name="VRN_Vedlejší rozpočtové náklady" sheetId="3" r:id="rId3"/>
  </sheets>
  <definedNames>
    <definedName name="_FilterDatabase" localSheetId="1" hidden="1">'VÝMĚNA V+K'!$A$6:$H$1108</definedName>
    <definedName name="_xlnm.Print_Area" localSheetId="0">Rekapitulace!$A$1:$B$12</definedName>
    <definedName name="_xlnm.Print_Area" localSheetId="2">'VRN_Vedlejší rozpočtové náklady'!$A$1:$H$20</definedName>
    <definedName name="_xlnm.Print_Area" localSheetId="1">'VÝMĚNA V+K'!$A$1:$H$1112</definedName>
    <definedName name="Print_Area" localSheetId="1">'VÝMĚNA V+K'!$A$1:$H$2,'VÝMĚNA V+K'!#REF!,'VÝMĚNA V+K'!$A$4:$H$1108</definedName>
    <definedName name="Print_Titles" localSheetId="1">'VÝMĚNA V+K'!$6:$6</definedName>
  </definedNames>
  <calcPr calcId="145621"/>
</workbook>
</file>

<file path=xl/calcChain.xml><?xml version="1.0" encoding="utf-8"?>
<calcChain xmlns="http://schemas.openxmlformats.org/spreadsheetml/2006/main">
  <c r="M97" i="2" l="1"/>
  <c r="M217" i="2"/>
  <c r="M224" i="2"/>
  <c r="M234" i="2"/>
  <c r="M239" i="2"/>
  <c r="M360" i="2"/>
  <c r="M362" i="2"/>
  <c r="M365" i="2"/>
  <c r="M367" i="2"/>
  <c r="M370" i="2"/>
  <c r="M372" i="2"/>
  <c r="M374" i="2"/>
  <c r="M504" i="2"/>
  <c r="M507" i="2"/>
  <c r="M510" i="2"/>
  <c r="M518" i="2"/>
  <c r="M522" i="2"/>
  <c r="M526" i="2"/>
  <c r="M652" i="2"/>
  <c r="M655" i="2"/>
  <c r="M658" i="2"/>
  <c r="L662" i="2"/>
  <c r="M662" i="2" s="1"/>
  <c r="M666" i="2"/>
  <c r="K670" i="2"/>
  <c r="M670" i="2"/>
  <c r="K672" i="2"/>
  <c r="M672" i="2"/>
  <c r="K674" i="2"/>
  <c r="M674" i="2"/>
  <c r="K676" i="2"/>
  <c r="M676" i="2"/>
  <c r="K678" i="2"/>
  <c r="M678" i="2"/>
  <c r="K680" i="2"/>
  <c r="M680" i="2"/>
  <c r="K682" i="2"/>
  <c r="M682" i="2"/>
  <c r="K684" i="2"/>
  <c r="M684" i="2"/>
  <c r="K686" i="2"/>
  <c r="K691" i="2"/>
  <c r="M696" i="2"/>
  <c r="M699" i="2"/>
  <c r="K704" i="2"/>
  <c r="K712" i="2"/>
  <c r="M725" i="2"/>
  <c r="M727" i="2"/>
  <c r="K730" i="2"/>
  <c r="M730" i="2"/>
  <c r="K732" i="2"/>
  <c r="M732" i="2"/>
  <c r="M734" i="2"/>
  <c r="K736" i="2"/>
  <c r="M736" i="2"/>
  <c r="M738" i="2"/>
  <c r="K740" i="2"/>
  <c r="M740" i="2"/>
  <c r="K742" i="2"/>
  <c r="M742" i="2"/>
  <c r="M744" i="2"/>
  <c r="J746" i="2"/>
  <c r="K746" i="2" s="1"/>
  <c r="M746" i="2"/>
  <c r="M748" i="2"/>
  <c r="K750" i="2"/>
  <c r="M750" i="2"/>
  <c r="K752" i="2"/>
  <c r="M752" i="2"/>
  <c r="K754" i="2"/>
  <c r="M754" i="2"/>
  <c r="K756" i="2"/>
  <c r="M756" i="2"/>
  <c r="K758" i="2"/>
  <c r="M758" i="2"/>
  <c r="K760" i="2"/>
  <c r="M760" i="2"/>
  <c r="M764" i="2"/>
  <c r="K766" i="2"/>
  <c r="M766" i="2"/>
  <c r="K768" i="2"/>
  <c r="M768" i="2"/>
  <c r="M770" i="2"/>
  <c r="K772" i="2"/>
  <c r="M772" i="2"/>
  <c r="K775" i="2"/>
  <c r="M775" i="2"/>
  <c r="K778" i="2"/>
  <c r="J780" i="2"/>
  <c r="J848" i="2"/>
  <c r="J865" i="2"/>
  <c r="J874" i="2"/>
  <c r="K874" i="2"/>
  <c r="J878" i="2"/>
  <c r="J885" i="2"/>
  <c r="J892" i="2"/>
  <c r="J899" i="2"/>
  <c r="K923" i="2"/>
  <c r="K925" i="2"/>
  <c r="K929" i="2"/>
  <c r="K931" i="2"/>
  <c r="K933" i="2"/>
  <c r="K935" i="2"/>
  <c r="J937" i="2"/>
  <c r="K937" i="2" s="1"/>
  <c r="K939" i="2"/>
  <c r="J941" i="2"/>
  <c r="K941" i="2"/>
  <c r="J943" i="2"/>
  <c r="K943" i="2" s="1"/>
  <c r="J945" i="2"/>
  <c r="K945" i="2"/>
  <c r="J947" i="2"/>
  <c r="K947" i="2" s="1"/>
  <c r="J949" i="2"/>
  <c r="K949" i="2"/>
  <c r="J951" i="2"/>
  <c r="K951" i="2"/>
  <c r="J953" i="2"/>
  <c r="K953" i="2"/>
  <c r="K971" i="2"/>
  <c r="K973" i="2"/>
  <c r="K975" i="2"/>
  <c r="K977" i="2"/>
  <c r="E860" i="2" l="1"/>
  <c r="H860" i="2" s="1"/>
  <c r="E497" i="2" l="1"/>
  <c r="E734" i="2" l="1"/>
  <c r="K734" i="2" s="1"/>
  <c r="H15" i="3"/>
  <c r="E897" i="2"/>
  <c r="E748" i="2"/>
  <c r="K748" i="2" s="1"/>
  <c r="E707" i="2"/>
  <c r="H707" i="2" l="1"/>
  <c r="E702" i="2"/>
  <c r="K702" i="2" s="1"/>
  <c r="E840" i="2"/>
  <c r="E838" i="2"/>
  <c r="E832" i="2"/>
  <c r="E829" i="2"/>
  <c r="E828" i="2"/>
  <c r="E827" i="2"/>
  <c r="E824" i="2"/>
  <c r="E818" i="2"/>
  <c r="E811" i="2"/>
  <c r="E810" i="2"/>
  <c r="E809" i="2"/>
  <c r="E808" i="2"/>
  <c r="E807" i="2"/>
  <c r="E805" i="2"/>
  <c r="E801" i="2"/>
  <c r="E795" i="2"/>
  <c r="E793" i="2"/>
  <c r="E904" i="2"/>
  <c r="E899" i="2" s="1"/>
  <c r="K899" i="2" s="1"/>
  <c r="E892" i="2"/>
  <c r="K892" i="2" s="1"/>
  <c r="E890" i="2"/>
  <c r="E885" i="2" s="1"/>
  <c r="K885" i="2" s="1"/>
  <c r="E883" i="2"/>
  <c r="E878" i="2" s="1"/>
  <c r="K878" i="2" s="1"/>
  <c r="E916" i="2"/>
  <c r="E921" i="2"/>
  <c r="E918" i="2" s="1"/>
  <c r="H918" i="2" s="1"/>
  <c r="E909" i="2"/>
  <c r="E906" i="2" s="1"/>
  <c r="H906" i="2" s="1"/>
  <c r="E858" i="2"/>
  <c r="H858" i="2" s="1"/>
  <c r="E856" i="2"/>
  <c r="H856" i="2" s="1"/>
  <c r="E853" i="2"/>
  <c r="E876" i="2" l="1"/>
  <c r="K876" i="2" s="1"/>
  <c r="E913" i="2"/>
  <c r="H913" i="2" s="1"/>
  <c r="E911" i="2"/>
  <c r="H911" i="2" s="1"/>
  <c r="E843" i="2"/>
  <c r="E812" i="2"/>
  <c r="E852" i="2"/>
  <c r="E854" i="2" s="1"/>
  <c r="E851" i="2" s="1"/>
  <c r="H851" i="2" s="1"/>
  <c r="E846" i="2" l="1"/>
  <c r="E872" i="2"/>
  <c r="K872" i="2" s="1"/>
  <c r="E1095" i="2" l="1"/>
  <c r="E1087" i="2"/>
  <c r="E1058" i="2"/>
  <c r="E1057" i="2"/>
  <c r="E1044" i="2"/>
  <c r="E1033" i="2"/>
  <c r="E1034" i="2"/>
  <c r="E1035" i="2"/>
  <c r="E1036" i="2"/>
  <c r="E1037" i="2"/>
  <c r="E1038" i="2"/>
  <c r="E1039" i="2"/>
  <c r="E1032" i="2"/>
  <c r="E1026" i="2"/>
  <c r="E1027" i="2" s="1"/>
  <c r="E1021" i="2"/>
  <c r="E1022" i="2" s="1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04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988" i="2"/>
  <c r="E984" i="2"/>
  <c r="E985" i="2" s="1"/>
  <c r="E1052" i="2"/>
  <c r="E1051" i="2"/>
  <c r="E1050" i="2"/>
  <c r="E1049" i="2"/>
  <c r="E1048" i="2"/>
  <c r="E1047" i="2"/>
  <c r="E1046" i="2"/>
  <c r="E1045" i="2"/>
  <c r="E1043" i="2"/>
  <c r="E1001" i="2" l="1"/>
  <c r="E1040" i="2"/>
  <c r="E1059" i="2"/>
  <c r="E1053" i="2"/>
  <c r="E1018" i="2"/>
  <c r="E783" i="2"/>
  <c r="K783" i="2" s="1"/>
  <c r="E781" i="2"/>
  <c r="E738" i="2"/>
  <c r="K738" i="2" s="1"/>
  <c r="E697" i="2"/>
  <c r="E696" i="2" s="1"/>
  <c r="K696" i="2" s="1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02" i="2"/>
  <c r="E596" i="2"/>
  <c r="E597" i="2" s="1"/>
  <c r="E587" i="2"/>
  <c r="E586" i="2"/>
  <c r="E585" i="2"/>
  <c r="E584" i="2"/>
  <c r="E583" i="2"/>
  <c r="E582" i="2"/>
  <c r="E581" i="2"/>
  <c r="E580" i="2"/>
  <c r="E579" i="2"/>
  <c r="E578" i="2"/>
  <c r="E577" i="2"/>
  <c r="E576" i="2"/>
  <c r="E573" i="2"/>
  <c r="E575" i="2"/>
  <c r="E574" i="2"/>
  <c r="E572" i="2"/>
  <c r="E571" i="2"/>
  <c r="E570" i="2"/>
  <c r="E569" i="2"/>
  <c r="E568" i="2"/>
  <c r="E567" i="2"/>
  <c r="E566" i="2"/>
  <c r="E565" i="2"/>
  <c r="E564" i="2"/>
  <c r="E563" i="2"/>
  <c r="E561" i="2"/>
  <c r="E562" i="2"/>
  <c r="E560" i="2"/>
  <c r="E554" i="2"/>
  <c r="E552" i="2"/>
  <c r="E550" i="2"/>
  <c r="E544" i="2"/>
  <c r="E546" i="2"/>
  <c r="E540" i="2"/>
  <c r="E538" i="2"/>
  <c r="E534" i="2"/>
  <c r="E535" i="2"/>
  <c r="E536" i="2"/>
  <c r="E537" i="2"/>
  <c r="E539" i="2"/>
  <c r="E541" i="2"/>
  <c r="E542" i="2"/>
  <c r="E543" i="2"/>
  <c r="E545" i="2"/>
  <c r="E547" i="2"/>
  <c r="E548" i="2"/>
  <c r="E549" i="2"/>
  <c r="E551" i="2"/>
  <c r="E553" i="2"/>
  <c r="E555" i="2"/>
  <c r="E556" i="2"/>
  <c r="E533" i="2"/>
  <c r="E528" i="2"/>
  <c r="E529" i="2" s="1"/>
  <c r="E644" i="2"/>
  <c r="E645" i="2"/>
  <c r="E639" i="2"/>
  <c r="E601" i="2"/>
  <c r="E591" i="2"/>
  <c r="E592" i="2" s="1"/>
  <c r="E12" i="2"/>
  <c r="E209" i="2"/>
  <c r="E207" i="2"/>
  <c r="E205" i="2"/>
  <c r="E203" i="2"/>
  <c r="E201" i="2"/>
  <c r="E199" i="2"/>
  <c r="E197" i="2"/>
  <c r="E195" i="2"/>
  <c r="E193" i="2"/>
  <c r="E188" i="2"/>
  <c r="E186" i="2"/>
  <c r="E184" i="2"/>
  <c r="E182" i="2"/>
  <c r="E180" i="2"/>
  <c r="E178" i="2"/>
  <c r="E176" i="2"/>
  <c r="E174" i="2"/>
  <c r="E157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38" i="2"/>
  <c r="E439" i="2" s="1"/>
  <c r="E500" i="2"/>
  <c r="E492" i="2"/>
  <c r="E485" i="2"/>
  <c r="E484" i="2"/>
  <c r="E483" i="2"/>
  <c r="E482" i="2"/>
  <c r="E481" i="2"/>
  <c r="E480" i="2"/>
  <c r="E479" i="2"/>
  <c r="E478" i="2"/>
  <c r="E476" i="2"/>
  <c r="E474" i="2"/>
  <c r="E472" i="2"/>
  <c r="E477" i="2"/>
  <c r="E475" i="2"/>
  <c r="E473" i="2"/>
  <c r="E471" i="2"/>
  <c r="E470" i="2"/>
  <c r="E469" i="2"/>
  <c r="E468" i="2"/>
  <c r="E461" i="2"/>
  <c r="E462" i="2"/>
  <c r="E463" i="2"/>
  <c r="E464" i="2"/>
  <c r="E450" i="2"/>
  <c r="E451" i="2"/>
  <c r="E452" i="2"/>
  <c r="E453" i="2"/>
  <c r="E454" i="2"/>
  <c r="E455" i="2"/>
  <c r="E456" i="2"/>
  <c r="E457" i="2"/>
  <c r="E458" i="2"/>
  <c r="E459" i="2"/>
  <c r="E460" i="2"/>
  <c r="E449" i="2"/>
  <c r="E443" i="2"/>
  <c r="E444" i="2" s="1"/>
  <c r="E403" i="2"/>
  <c r="E402" i="2"/>
  <c r="E401" i="2"/>
  <c r="E397" i="2"/>
  <c r="E395" i="2"/>
  <c r="E396" i="2"/>
  <c r="E398" i="2"/>
  <c r="E399" i="2"/>
  <c r="E400" i="2"/>
  <c r="E393" i="2"/>
  <c r="E391" i="2"/>
  <c r="E394" i="2"/>
  <c r="E392" i="2"/>
  <c r="E390" i="2"/>
  <c r="E387" i="2"/>
  <c r="E389" i="2"/>
  <c r="E388" i="2"/>
  <c r="E386" i="2"/>
  <c r="E385" i="2"/>
  <c r="E382" i="2"/>
  <c r="E383" i="2"/>
  <c r="E384" i="2"/>
  <c r="E381" i="2"/>
  <c r="E380" i="2"/>
  <c r="E375" i="2"/>
  <c r="E376" i="2" s="1"/>
  <c r="E496" i="2"/>
  <c r="E499" i="2"/>
  <c r="E498" i="2"/>
  <c r="E491" i="2"/>
  <c r="E486" i="2"/>
  <c r="E448" i="2"/>
  <c r="E349" i="2"/>
  <c r="E347" i="2"/>
  <c r="E345" i="2"/>
  <c r="E343" i="2"/>
  <c r="E341" i="2"/>
  <c r="E339" i="2"/>
  <c r="E337" i="2"/>
  <c r="E335" i="2"/>
  <c r="E333" i="2"/>
  <c r="E1023" i="2" l="1"/>
  <c r="E1054" i="2"/>
  <c r="E640" i="2"/>
  <c r="E557" i="2"/>
  <c r="E588" i="2"/>
  <c r="E618" i="2"/>
  <c r="E646" i="2"/>
  <c r="E501" i="2"/>
  <c r="E493" i="2"/>
  <c r="E404" i="2"/>
  <c r="E465" i="2"/>
  <c r="E435" i="2"/>
  <c r="E487" i="2"/>
  <c r="E328" i="2"/>
  <c r="E326" i="2"/>
  <c r="E324" i="2"/>
  <c r="E325" i="2"/>
  <c r="E322" i="2"/>
  <c r="E323" i="2"/>
  <c r="E318" i="2"/>
  <c r="E319" i="2"/>
  <c r="E320" i="2"/>
  <c r="E321" i="2"/>
  <c r="E316" i="2"/>
  <c r="E314" i="2"/>
  <c r="E356" i="2"/>
  <c r="E355" i="2"/>
  <c r="E334" i="2"/>
  <c r="E336" i="2"/>
  <c r="E338" i="2"/>
  <c r="E340" i="2"/>
  <c r="E342" i="2"/>
  <c r="E344" i="2"/>
  <c r="E346" i="2"/>
  <c r="E348" i="2"/>
  <c r="E332" i="2"/>
  <c r="E315" i="2"/>
  <c r="E317" i="2"/>
  <c r="E327" i="2"/>
  <c r="E313" i="2"/>
  <c r="E306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0" i="2"/>
  <c r="E281" i="2"/>
  <c r="E279" i="2"/>
  <c r="E278" i="2"/>
  <c r="E277" i="2"/>
  <c r="E276" i="2"/>
  <c r="E275" i="2"/>
  <c r="E274" i="2"/>
  <c r="E270" i="2"/>
  <c r="E269" i="2"/>
  <c r="E267" i="2"/>
  <c r="E268" i="2"/>
  <c r="E266" i="2"/>
  <c r="E265" i="2"/>
  <c r="E264" i="2"/>
  <c r="E262" i="2"/>
  <c r="E263" i="2"/>
  <c r="E261" i="2"/>
  <c r="E260" i="2"/>
  <c r="E259" i="2"/>
  <c r="E257" i="2"/>
  <c r="E258" i="2"/>
  <c r="E256" i="2"/>
  <c r="E255" i="2"/>
  <c r="E254" i="2"/>
  <c r="E253" i="2"/>
  <c r="E252" i="2"/>
  <c r="E249" i="2"/>
  <c r="E250" i="2"/>
  <c r="E251" i="2"/>
  <c r="E248" i="2"/>
  <c r="E247" i="2"/>
  <c r="E241" i="2"/>
  <c r="E1060" i="2" l="1"/>
  <c r="E981" i="2" s="1"/>
  <c r="E641" i="2"/>
  <c r="E593" i="2"/>
  <c r="E488" i="2"/>
  <c r="E440" i="2"/>
  <c r="E357" i="2"/>
  <c r="E350" i="2"/>
  <c r="E351" i="2" s="1"/>
  <c r="E329" i="2"/>
  <c r="E312" i="2"/>
  <c r="E307" i="2"/>
  <c r="E308" i="2" s="1"/>
  <c r="E302" i="2"/>
  <c r="E271" i="2"/>
  <c r="E242" i="2"/>
  <c r="E243" i="2" s="1"/>
  <c r="E109" i="2"/>
  <c r="E111" i="2"/>
  <c r="E117" i="2"/>
  <c r="E121" i="2"/>
  <c r="E123" i="2"/>
  <c r="E125" i="2"/>
  <c r="E134" i="2"/>
  <c r="E140" i="2"/>
  <c r="E144" i="2"/>
  <c r="E148" i="2"/>
  <c r="E154" i="2"/>
  <c r="E156" i="2"/>
  <c r="E158" i="2"/>
  <c r="E152" i="2"/>
  <c r="E150" i="2"/>
  <c r="E146" i="2"/>
  <c r="E142" i="2"/>
  <c r="E138" i="2"/>
  <c r="E136" i="2"/>
  <c r="E132" i="2"/>
  <c r="E127" i="2"/>
  <c r="E119" i="2"/>
  <c r="E115" i="2"/>
  <c r="E113" i="2"/>
  <c r="E107" i="2"/>
  <c r="E105" i="2"/>
  <c r="E647" i="2" l="1"/>
  <c r="E526" i="2" s="1"/>
  <c r="E494" i="2"/>
  <c r="E502" i="2" s="1"/>
  <c r="E303" i="2"/>
  <c r="E352" i="2"/>
  <c r="E13" i="2"/>
  <c r="E227" i="2"/>
  <c r="E228" i="2"/>
  <c r="E210" i="2"/>
  <c r="E172" i="2"/>
  <c r="E167" i="2"/>
  <c r="E104" i="2"/>
  <c r="E100" i="2"/>
  <c r="E92" i="2"/>
  <c r="E87" i="2"/>
  <c r="E78" i="2"/>
  <c r="E61" i="2"/>
  <c r="E52" i="2"/>
  <c r="E23" i="2"/>
  <c r="E19" i="2"/>
  <c r="H526" i="2" l="1"/>
  <c r="K526" i="2"/>
  <c r="E358" i="2"/>
  <c r="E239" i="2" s="1"/>
  <c r="K239" i="2" s="1"/>
  <c r="E229" i="2"/>
  <c r="E230" i="2" s="1"/>
  <c r="E224" i="2" s="1"/>
  <c r="K224" i="2" s="1"/>
  <c r="E93" i="2"/>
  <c r="E79" i="2"/>
  <c r="E80" i="2"/>
  <c r="E81" i="2"/>
  <c r="E82" i="2"/>
  <c r="E83" i="2"/>
  <c r="E84" i="2"/>
  <c r="E85" i="2"/>
  <c r="E86" i="2"/>
  <c r="E68" i="2"/>
  <c r="E69" i="2"/>
  <c r="E70" i="2"/>
  <c r="E71" i="2"/>
  <c r="E72" i="2"/>
  <c r="E73" i="2"/>
  <c r="E74" i="2"/>
  <c r="E67" i="2"/>
  <c r="E56" i="2"/>
  <c r="E40" i="2"/>
  <c r="E41" i="2"/>
  <c r="E42" i="2"/>
  <c r="E43" i="2"/>
  <c r="E44" i="2"/>
  <c r="E45" i="2"/>
  <c r="E46" i="2"/>
  <c r="E47" i="2"/>
  <c r="E48" i="2"/>
  <c r="E49" i="2"/>
  <c r="E50" i="2"/>
  <c r="E51" i="2"/>
  <c r="E39" i="2"/>
  <c r="E35" i="2"/>
  <c r="E34" i="2"/>
  <c r="E33" i="2"/>
  <c r="E32" i="2"/>
  <c r="E31" i="2"/>
  <c r="E30" i="2"/>
  <c r="E29" i="2"/>
  <c r="E28" i="2"/>
  <c r="E27" i="2"/>
  <c r="E26" i="2"/>
  <c r="E25" i="2"/>
  <c r="E24" i="2"/>
  <c r="E232" i="2" l="1"/>
  <c r="H232" i="2" s="1"/>
  <c r="H224" i="2"/>
  <c r="E360" i="2"/>
  <c r="H239" i="2"/>
  <c r="E236" i="2"/>
  <c r="E36" i="2"/>
  <c r="E88" i="2"/>
  <c r="E53" i="2"/>
  <c r="E208" i="2"/>
  <c r="E206" i="2"/>
  <c r="E204" i="2"/>
  <c r="E202" i="2"/>
  <c r="E200" i="2"/>
  <c r="E198" i="2"/>
  <c r="E196" i="2"/>
  <c r="E194" i="2"/>
  <c r="E192" i="2"/>
  <c r="E187" i="2"/>
  <c r="E185" i="2"/>
  <c r="E183" i="2"/>
  <c r="E181" i="2"/>
  <c r="E179" i="2"/>
  <c r="E177" i="2"/>
  <c r="E175" i="2"/>
  <c r="E173" i="2"/>
  <c r="E168" i="2"/>
  <c r="E162" i="2"/>
  <c r="E163" i="2" s="1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6" i="2"/>
  <c r="E124" i="2"/>
  <c r="E122" i="2"/>
  <c r="E120" i="2"/>
  <c r="E118" i="2"/>
  <c r="E116" i="2"/>
  <c r="E114" i="2"/>
  <c r="E112" i="2"/>
  <c r="E110" i="2"/>
  <c r="E108" i="2"/>
  <c r="E106" i="2"/>
  <c r="E101" i="2"/>
  <c r="E57" i="2"/>
  <c r="E20" i="2"/>
  <c r="E62" i="2"/>
  <c r="H360" i="2" l="1"/>
  <c r="K360" i="2"/>
  <c r="E513" i="2"/>
  <c r="E189" i="2"/>
  <c r="E159" i="2"/>
  <c r="E128" i="2"/>
  <c r="E211" i="2"/>
  <c r="E94" i="2"/>
  <c r="E75" i="2"/>
  <c r="E89" i="2" s="1"/>
  <c r="E164" i="2" l="1"/>
  <c r="E212" i="2"/>
  <c r="E58" i="2"/>
  <c r="H16" i="3"/>
  <c r="H1108" i="2"/>
  <c r="H973" i="2"/>
  <c r="H975" i="2"/>
  <c r="H977" i="2"/>
  <c r="H979" i="2"/>
  <c r="H1066" i="2"/>
  <c r="H1068" i="2"/>
  <c r="H1070" i="2"/>
  <c r="H1072" i="2"/>
  <c r="H971" i="2"/>
  <c r="H927" i="2"/>
  <c r="H929" i="2"/>
  <c r="H931" i="2"/>
  <c r="H672" i="2"/>
  <c r="H674" i="2"/>
  <c r="H676" i="2"/>
  <c r="H678" i="2"/>
  <c r="H680" i="2"/>
  <c r="H682" i="2"/>
  <c r="H684" i="2"/>
  <c r="H686" i="2"/>
  <c r="H691" i="2"/>
  <c r="H702" i="2"/>
  <c r="H704" i="2"/>
  <c r="H730" i="2"/>
  <c r="H732" i="2"/>
  <c r="H736" i="2"/>
  <c r="H738" i="2"/>
  <c r="H740" i="2"/>
  <c r="H742" i="2"/>
  <c r="H746" i="2"/>
  <c r="H750" i="2"/>
  <c r="H752" i="2"/>
  <c r="H754" i="2"/>
  <c r="H755" i="2"/>
  <c r="H760" i="2"/>
  <c r="H762" i="2"/>
  <c r="H766" i="2"/>
  <c r="H768" i="2"/>
  <c r="H872" i="2"/>
  <c r="H874" i="2"/>
  <c r="H892" i="2"/>
  <c r="H925" i="2"/>
  <c r="H933" i="2"/>
  <c r="H935" i="2"/>
  <c r="H937" i="2"/>
  <c r="H939" i="2"/>
  <c r="H941" i="2"/>
  <c r="H943" i="2"/>
  <c r="H945" i="2"/>
  <c r="H947" i="2"/>
  <c r="H949" i="2"/>
  <c r="H951" i="2"/>
  <c r="H953" i="2"/>
  <c r="H958" i="2"/>
  <c r="H923" i="2"/>
  <c r="H14" i="3"/>
  <c r="H13" i="3"/>
  <c r="H12" i="3"/>
  <c r="H11" i="3"/>
  <c r="H10" i="3"/>
  <c r="H9" i="3"/>
  <c r="H17" i="3" l="1"/>
  <c r="H19" i="3" s="1"/>
  <c r="B7" i="4" s="1"/>
  <c r="E214" i="2"/>
  <c r="E95" i="2"/>
  <c r="E16" i="2" s="1"/>
  <c r="M16" i="2" l="1"/>
  <c r="K16" i="2"/>
  <c r="E653" i="2"/>
  <c r="H16" i="2"/>
  <c r="E1062" i="2"/>
  <c r="E1078" i="2"/>
  <c r="E652" i="2"/>
  <c r="K652" i="2" s="1"/>
  <c r="E11" i="2"/>
  <c r="H734" i="2"/>
  <c r="H748" i="2"/>
  <c r="E666" i="2" l="1"/>
  <c r="E664" i="2"/>
  <c r="H664" i="2" s="1"/>
  <c r="H652" i="2"/>
  <c r="E662" i="2"/>
  <c r="E660" i="2"/>
  <c r="H660" i="2" s="1"/>
  <c r="E655" i="2"/>
  <c r="E658" i="2"/>
  <c r="H662" i="2" l="1"/>
  <c r="K662" i="2"/>
  <c r="H658" i="2"/>
  <c r="K658" i="2"/>
  <c r="H655" i="2"/>
  <c r="K655" i="2"/>
  <c r="H666" i="2"/>
  <c r="K666" i="2"/>
  <c r="E727" i="2"/>
  <c r="K727" i="2" s="1"/>
  <c r="E722" i="2"/>
  <c r="H722" i="2" l="1"/>
  <c r="K722" i="2"/>
  <c r="H727" i="2"/>
  <c r="E725" i="2"/>
  <c r="H725" i="2" l="1"/>
  <c r="K725" i="2"/>
  <c r="D1098" i="2"/>
  <c r="E1094" i="2"/>
  <c r="H1094" i="2" s="1"/>
  <c r="E1086" i="2"/>
  <c r="H1086" i="2" s="1"/>
  <c r="H981" i="2" l="1"/>
  <c r="E744" i="2" l="1"/>
  <c r="E770" i="2"/>
  <c r="H770" i="2" l="1"/>
  <c r="K770" i="2"/>
  <c r="H744" i="2"/>
  <c r="K744" i="2"/>
  <c r="H899" i="2"/>
  <c r="E764" i="2"/>
  <c r="H764" i="2" l="1"/>
  <c r="K764" i="2"/>
  <c r="E955" i="2"/>
  <c r="H955" i="2" l="1"/>
  <c r="K955" i="2"/>
  <c r="H878" i="2"/>
  <c r="E870" i="2"/>
  <c r="H885" i="2" l="1"/>
  <c r="E865" i="2"/>
  <c r="E719" i="2"/>
  <c r="E714" i="2"/>
  <c r="H714" i="2" l="1"/>
  <c r="K714" i="2"/>
  <c r="H719" i="2"/>
  <c r="K719" i="2"/>
  <c r="H865" i="2"/>
  <c r="K865" i="2"/>
  <c r="H876" i="2"/>
  <c r="E717" i="2"/>
  <c r="E863" i="2"/>
  <c r="E688" i="2"/>
  <c r="E694" i="2"/>
  <c r="E693" i="2" s="1"/>
  <c r="H717" i="2" l="1"/>
  <c r="K717" i="2"/>
  <c r="H693" i="2"/>
  <c r="K693" i="2"/>
  <c r="H688" i="2"/>
  <c r="K688" i="2"/>
  <c r="H863" i="2"/>
  <c r="K863" i="2"/>
  <c r="H712" i="2"/>
  <c r="E710" i="2"/>
  <c r="H710" i="2" l="1"/>
  <c r="K710" i="2"/>
  <c r="H670" i="2"/>
  <c r="H756" i="2" l="1"/>
  <c r="H758" i="2" l="1"/>
  <c r="H778" i="2"/>
  <c r="H783" i="2"/>
  <c r="H966" i="2" l="1"/>
  <c r="E848" i="2"/>
  <c r="H963" i="2"/>
  <c r="E780" i="2"/>
  <c r="H696" i="2"/>
  <c r="H780" i="2" l="1"/>
  <c r="K780" i="2"/>
  <c r="H848" i="2"/>
  <c r="K848" i="2"/>
  <c r="H960" i="2"/>
  <c r="H772" i="2"/>
  <c r="E700" i="2"/>
  <c r="H775" i="2" l="1"/>
  <c r="E374" i="2" l="1"/>
  <c r="E699" i="2"/>
  <c r="H699" i="2" l="1"/>
  <c r="K699" i="2"/>
  <c r="H374" i="2"/>
  <c r="K374" i="2"/>
  <c r="E515" i="2"/>
  <c r="E508" i="2"/>
  <c r="E505" i="2"/>
  <c r="E504" i="2" s="1"/>
  <c r="E507" i="2"/>
  <c r="E514" i="2"/>
  <c r="H507" i="2" l="1"/>
  <c r="K507" i="2"/>
  <c r="H504" i="2"/>
  <c r="K504" i="2"/>
  <c r="E1064" i="2"/>
  <c r="H1064" i="2" s="1"/>
  <c r="H1062" i="2"/>
  <c r="E14" i="2"/>
  <c r="E9" i="2" s="1"/>
  <c r="D1092" i="2"/>
  <c r="E1092" i="2" s="1"/>
  <c r="E1091" i="2" s="1"/>
  <c r="H1091" i="2" s="1"/>
  <c r="E1101" i="2"/>
  <c r="E1100" i="2" s="1"/>
  <c r="H1100" i="2" s="1"/>
  <c r="H9" i="2" l="1"/>
  <c r="K9" i="2"/>
  <c r="M9" i="2"/>
  <c r="E1098" i="2"/>
  <c r="E1097" i="2" s="1"/>
  <c r="H1097" i="2" s="1"/>
  <c r="E522" i="2" l="1"/>
  <c r="E1080" i="2"/>
  <c r="E1104" i="2" s="1"/>
  <c r="E1103" i="2" s="1"/>
  <c r="H1103" i="2" s="1"/>
  <c r="H522" i="2" l="1"/>
  <c r="K522" i="2"/>
  <c r="E1084" i="2"/>
  <c r="E1081" i="2"/>
  <c r="E1077" i="2" s="1"/>
  <c r="H1077" i="2" s="1"/>
  <c r="E1083" i="2" l="1"/>
  <c r="H1083" i="2" s="1"/>
  <c r="E1089" i="2"/>
  <c r="E1088" i="2" s="1"/>
  <c r="H1088" i="2" s="1"/>
  <c r="H1109" i="2" l="1"/>
  <c r="H649" i="2"/>
  <c r="H667" i="2" l="1"/>
  <c r="H1105" i="2"/>
  <c r="H1074" i="2"/>
  <c r="H968" i="2" l="1"/>
  <c r="E215" i="2"/>
  <c r="E97" i="2" s="1"/>
  <c r="H97" i="2" l="1"/>
  <c r="K97" i="2"/>
  <c r="E220" i="2"/>
  <c r="H220" i="2" s="1"/>
  <c r="E218" i="2"/>
  <c r="E217" i="2" s="1"/>
  <c r="H217" i="2" l="1"/>
  <c r="K217" i="2"/>
  <c r="E512" i="2"/>
  <c r="E235" i="2"/>
  <c r="E237" i="2" s="1"/>
  <c r="E234" i="2" s="1"/>
  <c r="E222" i="2"/>
  <c r="H222" i="2" s="1"/>
  <c r="H234" i="2" l="1"/>
  <c r="K234" i="2"/>
  <c r="E516" i="2"/>
  <c r="E510" i="2" s="1"/>
  <c r="K510" i="2" s="1"/>
  <c r="E363" i="2"/>
  <c r="E362" i="2"/>
  <c r="K362" i="2" s="1"/>
  <c r="E365" i="2" l="1"/>
  <c r="H362" i="2"/>
  <c r="H510" i="2"/>
  <c r="E519" i="2"/>
  <c r="E520" i="2" s="1"/>
  <c r="E518" i="2" s="1"/>
  <c r="E368" i="2"/>
  <c r="E370" i="2"/>
  <c r="E367" i="2"/>
  <c r="H518" i="2" l="1"/>
  <c r="K518" i="2"/>
  <c r="H367" i="2"/>
  <c r="K367" i="2"/>
  <c r="H370" i="2"/>
  <c r="K370" i="2"/>
  <c r="H365" i="2"/>
  <c r="K365" i="2"/>
  <c r="E372" i="2"/>
  <c r="K1111" i="2" l="1"/>
  <c r="H372" i="2"/>
  <c r="K372" i="2"/>
  <c r="H523" i="2"/>
  <c r="H1111" i="2" l="1"/>
  <c r="B6" i="4" s="1"/>
  <c r="B9" i="4" s="1"/>
  <c r="B10" i="4" s="1"/>
  <c r="B11" i="4" s="1"/>
</calcChain>
</file>

<file path=xl/sharedStrings.xml><?xml version="1.0" encoding="utf-8"?>
<sst xmlns="http://schemas.openxmlformats.org/spreadsheetml/2006/main" count="2153" uniqueCount="917">
  <si>
    <t/>
  </si>
  <si>
    <t>Kód</t>
  </si>
  <si>
    <t>Typ</t>
  </si>
  <si>
    <t>D</t>
  </si>
  <si>
    <t>1</t>
  </si>
  <si>
    <t>PČ</t>
  </si>
  <si>
    <t>Popis</t>
  </si>
  <si>
    <t>MJ</t>
  </si>
  <si>
    <t>Množství</t>
  </si>
  <si>
    <t>HSV</t>
  </si>
  <si>
    <t>Práce a dodávky HSV</t>
  </si>
  <si>
    <t>Zemní práce</t>
  </si>
  <si>
    <t>K</t>
  </si>
  <si>
    <t>m2</t>
  </si>
  <si>
    <t>4</t>
  </si>
  <si>
    <t>132201202</t>
  </si>
  <si>
    <t>Hloubení rýh š do 2000 mm v hornině tř. 3 objemu do 1000 m3</t>
  </si>
  <si>
    <t>m3</t>
  </si>
  <si>
    <t>Součet</t>
  </si>
  <si>
    <t>5</t>
  </si>
  <si>
    <t>132201209</t>
  </si>
  <si>
    <t>Příplatek za lepivost k hloubení rýh š do 2000 mm v hornině tř. 3</t>
  </si>
  <si>
    <t>8</t>
  </si>
  <si>
    <t>133202012</t>
  </si>
  <si>
    <t>Hloubení šachet ručním nebo pneum nářadím v soudržných horninách tř. 3, plocha výkopu do 20 m2</t>
  </si>
  <si>
    <t>9</t>
  </si>
  <si>
    <t>161101101</t>
  </si>
  <si>
    <t>Svislé přemístění výkopku z horniny tř. 1 až 4 hl výkopu do 2,5 m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</si>
  <si>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</si>
  <si>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</si>
  <si>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</si>
  <si>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</si>
  <si>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167101102</t>
  </si>
  <si>
    <t>Nakládání výkopku z hornin tř. 1 až 4 přes 100 m3</t>
  </si>
  <si>
    <t>162701105</t>
  </si>
  <si>
    <t>Vodorovné přemístění do 10000 m výkopku/sypaniny z horniny tř. 1 až 4</t>
  </si>
  <si>
    <t>162701109</t>
  </si>
  <si>
    <t>Příplatek k vodorovnému přemístění výkopku/sypaniny z horniny tř. 1 až 4 ZKD 1000 m přes 10000 m</t>
  </si>
  <si>
    <t>171201201</t>
  </si>
  <si>
    <t>Uložení sypaniny na skládky</t>
  </si>
  <si>
    <t>171201211</t>
  </si>
  <si>
    <t>Poplatek za uložení odpadu ze sypaniny na skládce (skládkovné)</t>
  </si>
  <si>
    <t>t</t>
  </si>
  <si>
    <t>175151101</t>
  </si>
  <si>
    <t>Obsypání potrubí strojně sypaninou bez prohození, uloženou do 3 m</t>
  </si>
  <si>
    <t>175111109</t>
  </si>
  <si>
    <t>Příplatek k obsypání potrubí za ruční prohození sypaniny, uložené do 3 m</t>
  </si>
  <si>
    <t>M</t>
  </si>
  <si>
    <t>583312000</t>
  </si>
  <si>
    <t>štěrkopísek netříděný zásypový materiál</t>
  </si>
  <si>
    <t>174101101</t>
  </si>
  <si>
    <t>Zásyp jam, šachet rýh nebo kolem objektů sypaninou se zhutněním</t>
  </si>
  <si>
    <t>181151311</t>
  </si>
  <si>
    <t>Plošná úprava terénu přes 500 m2 zemina tř 1 až 4 nerovnosti do +/- 100 mm v rovinně a svahu do 1:5</t>
  </si>
  <si>
    <t>Vodorovné konstrukce</t>
  </si>
  <si>
    <t>451572111</t>
  </si>
  <si>
    <t>Lože pod potrubí otevřený výkop z kameniva drobného těženého</t>
  </si>
  <si>
    <t>Komunikace pozemní</t>
  </si>
  <si>
    <t>564861111</t>
  </si>
  <si>
    <t>Podklad ze štěrkodrtě ŠD tl 200 mm  fr.0/63</t>
  </si>
  <si>
    <t>564851111</t>
  </si>
  <si>
    <t>Podklad ze štěrkodrtě ŠD tl 150 mm fr.0/32</t>
  </si>
  <si>
    <t>Trubní vedení</t>
  </si>
  <si>
    <t>R001</t>
  </si>
  <si>
    <t>m</t>
  </si>
  <si>
    <t>734100812</t>
  </si>
  <si>
    <t>Demontáž armatury přírubové se dvěma přírubami do DN 100</t>
  </si>
  <si>
    <t>kus</t>
  </si>
  <si>
    <t>734100823</t>
  </si>
  <si>
    <t>Demontáž armatury přírubové se třemi přírubami do DN 150</t>
  </si>
  <si>
    <t>891261811</t>
  </si>
  <si>
    <t>Demontáž vodovodních šoupátek otevřený výkop DN 100</t>
  </si>
  <si>
    <t>899101211</t>
  </si>
  <si>
    <t>Demontáž poklopů litinových nebo ocelových včetně rámů hmotnosti do 50 kg</t>
  </si>
  <si>
    <t>891181811</t>
  </si>
  <si>
    <t>Demontáž vodovodních šoupátek otevřený výkop DN 40</t>
  </si>
  <si>
    <t>734200811</t>
  </si>
  <si>
    <t>Demontáž armatury závitové s jedním závitem do G 1/2</t>
  </si>
  <si>
    <t>871161211</t>
  </si>
  <si>
    <t>Montáž potrubí z PE100 SDR 11 otevřený výkop svařovaných elektrotvarovkou D 32 x 3,0 mm</t>
  </si>
  <si>
    <t>R004</t>
  </si>
  <si>
    <t>R005</t>
  </si>
  <si>
    <t>Montáž vodovodních šoupátek otevřený výkop DN 40</t>
  </si>
  <si>
    <t>722219191</t>
  </si>
  <si>
    <t>Montáž zemních souprav šoupátkových</t>
  </si>
  <si>
    <t>892372111</t>
  </si>
  <si>
    <t>Zabezpečení konců potrubí DN do 300 při tlakových zkouškách vodou</t>
  </si>
  <si>
    <t>115101201</t>
  </si>
  <si>
    <t>Čerpání vody na dopravní výšku do 10 m průměrný přítok do 500 l/min</t>
  </si>
  <si>
    <t>hod</t>
  </si>
  <si>
    <t>899401112</t>
  </si>
  <si>
    <t>Osazení poklopů litinových šoupátkových</t>
  </si>
  <si>
    <t>R006</t>
  </si>
  <si>
    <t>899722112</t>
  </si>
  <si>
    <t>Krytí potrubí z plastů výstražnou fólií z PVC 25 cm</t>
  </si>
  <si>
    <t>899721111</t>
  </si>
  <si>
    <t>Signalizační vodič DN do 150 mm na potrubí PVC - D+M</t>
  </si>
  <si>
    <t>Ostatní konstrukce a práce, bourání</t>
  </si>
  <si>
    <t>119001401</t>
  </si>
  <si>
    <t>Dočasné zajištění potrubí ocelového nebo litinového DN do 200</t>
  </si>
  <si>
    <t>119001421</t>
  </si>
  <si>
    <t>Dočasné zajištění kabelů a kabelových tratí ze 3 volně ložených kabelů</t>
  </si>
  <si>
    <t>119001422</t>
  </si>
  <si>
    <t>Dočasné zajištění kabelů a kabelových tratí z 6 volně ložených kabelů</t>
  </si>
  <si>
    <t>119002121</t>
  </si>
  <si>
    <t>Pomocné konstrukce při zabezpečení výkopů přechodovou lávkou l do 2 m včetně zábradlí zřízení</t>
  </si>
  <si>
    <t>119002122</t>
  </si>
  <si>
    <t>Pomocné konstrukce při zabezpečení výkopů přechodovou lávkou l do 2 m včetně zábradlí odstranění</t>
  </si>
  <si>
    <t>938908411</t>
  </si>
  <si>
    <t>Čištění vozovek splachováním vodou</t>
  </si>
  <si>
    <t>938909331</t>
  </si>
  <si>
    <t>Čištění vozovek metením ručně podkladu nebo krytu betonového nebo živičného</t>
  </si>
  <si>
    <t>R003</t>
  </si>
  <si>
    <t>Rozebrání chodníkových ploch z dlaždic, obrub a povrchů při realizaci přípojek</t>
  </si>
  <si>
    <t>kpl</t>
  </si>
  <si>
    <t>Zavírání vody,vypouštění a napouštění,odkalení</t>
  </si>
  <si>
    <t>997</t>
  </si>
  <si>
    <t>Přesun sutě</t>
  </si>
  <si>
    <t>997221611</t>
  </si>
  <si>
    <t>Nakládání suti na dopravní prostředky pro vodorovnou dopravu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</si>
  <si>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</si>
  <si>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</si>
  <si>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</si>
  <si>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</si>
  <si>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997221612</t>
  </si>
  <si>
    <t>Nakládání vybouraných hmot na dopravní prostředky pro vodorovnou dopravu</t>
  </si>
  <si>
    <t>997221571</t>
  </si>
  <si>
    <t>Vodorovná doprava vybouraných hmot do 1 km</t>
  </si>
  <si>
    <t>997221579</t>
  </si>
  <si>
    <t>Příplatek ZKD 1 km u vodorovné dopravy vybouraných hmot</t>
  </si>
  <si>
    <t>997221815</t>
  </si>
  <si>
    <t>Poplatek za uložení betonového odpadu na skládce (skládkovné)</t>
  </si>
  <si>
    <t>997221845</t>
  </si>
  <si>
    <t>Poplatek za uložení odpadu z asfaltových povrchů na skládce (skládkovné)</t>
  </si>
  <si>
    <t>997221855</t>
  </si>
  <si>
    <t>Poplatek za uložení odpadu z kameniva na skládce (skládkovné)</t>
  </si>
  <si>
    <t>998</t>
  </si>
  <si>
    <t>Přesun hmot</t>
  </si>
  <si>
    <t>998276101</t>
  </si>
  <si>
    <t>Přesun hmot pro trubní vedení z trub z plastických hmot otevřený výkop</t>
  </si>
  <si>
    <t>ks</t>
  </si>
  <si>
    <t>Montáž kanalizačního potrubí hladkého plnostěnného SN 12 z polypropylenu DN 150</t>
  </si>
  <si>
    <t>trubka kanalizační PP MASTER SN 12, dl.6m, DN 150</t>
  </si>
  <si>
    <t>Montáž kolen na potrubí z PP trub hladkých plnostěnných DN 150</t>
  </si>
  <si>
    <t>899103111</t>
  </si>
  <si>
    <t>Osazení poklopů litinových nebo ocelových včetně rámů hmotnosti nad 100 do 150 kg</t>
  </si>
  <si>
    <t>899623161</t>
  </si>
  <si>
    <t>Obetonování potrubí nebo zdiva stok betonem prostým tř. C 20/25 v otevřeném výkopu</t>
  </si>
  <si>
    <t>359901111</t>
  </si>
  <si>
    <t>Vyčištění stok</t>
  </si>
  <si>
    <t>Monitoring stoky jakékoli výšky na nové kanalizaci</t>
  </si>
  <si>
    <t>J.cena</t>
  </si>
  <si>
    <t xml:space="preserve">Cena celkem </t>
  </si>
  <si>
    <t>Zemní práce - celkem</t>
  </si>
  <si>
    <t>Vodorovné konstrukce - celkem</t>
  </si>
  <si>
    <t>Komunikace pozemní - celkem</t>
  </si>
  <si>
    <t>Trubní vedení - celkem</t>
  </si>
  <si>
    <t>Přesun hmot - celkem</t>
  </si>
  <si>
    <t>ROZPOČET</t>
  </si>
  <si>
    <t>INVESTOR: MĚSTO ČESKÝ BROD, NÁMĚSTÍ HUSOVO 70, 282 01 ČESKÝ BROD, IČO 00235334</t>
  </si>
  <si>
    <t>lože</t>
  </si>
  <si>
    <t>obsyp</t>
  </si>
  <si>
    <t>Univerzální podkladová deska</t>
  </si>
  <si>
    <t>Vodovodní poklop šoupatový D 400</t>
  </si>
  <si>
    <t>Rohový ventil pro domovní přípojky HAWLE ISO 2" - 6/4"</t>
  </si>
  <si>
    <t>Připojovací tvarovka HAWLE ISO 6/4" - 32</t>
  </si>
  <si>
    <t>Teleskopická z.z.s. na přípojky(L 1,3-1,8 m)</t>
  </si>
  <si>
    <t>Přípojkový litinový poklop D 400</t>
  </si>
  <si>
    <t>Spojka Hawle ISO 32-32</t>
  </si>
  <si>
    <t>Kanalizační tvarovka - spojka PP Master SN 12 DN 400</t>
  </si>
  <si>
    <t>Poklop šachtový třída D 400, kruhový rám 900, vstup 600 mm, bez ventilace</t>
  </si>
  <si>
    <t>Uvedení chodníkových ploch, obrub a povrchů při realizaci přípojek do původního stavu</t>
  </si>
  <si>
    <t>J. hmotnost_x000D_
[t]</t>
  </si>
  <si>
    <t>Hmotnost_x000D_
celkem [t]</t>
  </si>
  <si>
    <t>J. suť [t]</t>
  </si>
  <si>
    <t>Suť Celkem [t]</t>
  </si>
  <si>
    <t>odstranění betonů</t>
  </si>
  <si>
    <t>odstranění kameniva</t>
  </si>
  <si>
    <t>CELKEM bez potrubí obsyp</t>
  </si>
  <si>
    <t>400210000016T</t>
  </si>
  <si>
    <t>315100100016T</t>
  </si>
  <si>
    <t>960113018004T</t>
  </si>
  <si>
    <t>1017T</t>
  </si>
  <si>
    <t>175000000001T</t>
  </si>
  <si>
    <t>3481000000001T</t>
  </si>
  <si>
    <t>28614534R</t>
  </si>
  <si>
    <t>trubka kanalizační PP MASTER SN 12, dl.6m, DN 400</t>
  </si>
  <si>
    <t xml:space="preserve">Montáž kanalizačního potrubí hladkého plnostěnného SN 12 z polypropylenu DN 400 </t>
  </si>
  <si>
    <t>2865447054R</t>
  </si>
  <si>
    <t xml:space="preserve">Montáž kolen na potrubí z PP trub hladkých plnostěnných DN 400 </t>
  </si>
  <si>
    <t>894431112R00</t>
  </si>
  <si>
    <t>55340322R</t>
  </si>
  <si>
    <t>630003203216T</t>
  </si>
  <si>
    <t>622103206416T</t>
  </si>
  <si>
    <t>919735112</t>
  </si>
  <si>
    <t>STAVBA: ČESKÝ BROD, VÝMĚNA VODOVODU A KANALIZACE V ULICI TUCHORAZSKÁ</t>
  </si>
  <si>
    <t>"komunikace"</t>
  </si>
  <si>
    <t xml:space="preserve">rýhy: </t>
  </si>
  <si>
    <t xml:space="preserve">šachty: </t>
  </si>
  <si>
    <t xml:space="preserve">Součet: </t>
  </si>
  <si>
    <t xml:space="preserve">"pro zásyp" </t>
  </si>
  <si>
    <t>Výměna vodovodu a kanalizace celkem bez DPH</t>
  </si>
  <si>
    <t>výkop rýh</t>
  </si>
  <si>
    <t>výkop jam</t>
  </si>
  <si>
    <t>Mezisoučet šachty</t>
  </si>
  <si>
    <t>Mezisoučet - odpočet potrubí</t>
  </si>
  <si>
    <t>uvažováno tl.100+100mm</t>
  </si>
  <si>
    <t>ztratné 2%</t>
  </si>
  <si>
    <t>857314121</t>
  </si>
  <si>
    <t>Montáž litinových tvarovek odbočných přírubových otevřený výkop DN 150</t>
  </si>
  <si>
    <t>891311111</t>
  </si>
  <si>
    <t>Montáž vodovodních šoupátek otevřený výkop DN 150</t>
  </si>
  <si>
    <t>891181111</t>
  </si>
  <si>
    <t>Tlaková zkouška vodou potrubí do DN 200</t>
  </si>
  <si>
    <t>892351111</t>
  </si>
  <si>
    <t>Proplach a dezinfekce vodovodního potrubí DN do 200</t>
  </si>
  <si>
    <t xml:space="preserve">Součet </t>
  </si>
  <si>
    <t>přepočet na kusy</t>
  </si>
  <si>
    <t>871393121</t>
  </si>
  <si>
    <t>871313121</t>
  </si>
  <si>
    <t>877393121</t>
  </si>
  <si>
    <t>Montáž odboček na potrubí z PP trub hladkých plnostěnných DN 400</t>
  </si>
  <si>
    <t xml:space="preserve">kanalizační odbočka Connex s kloubem DN 400/150 </t>
  </si>
  <si>
    <t>877393123</t>
  </si>
  <si>
    <t>892593111</t>
  </si>
  <si>
    <t>Zkouška těsnosti kanalizace DN do 400mm, vodou</t>
  </si>
  <si>
    <t>892591111</t>
  </si>
  <si>
    <t>892855115</t>
  </si>
  <si>
    <t>řady</t>
  </si>
  <si>
    <t>950212515003T</t>
  </si>
  <si>
    <t>odstranění asfaltů</t>
  </si>
  <si>
    <t>tl.2,0*0,1 pro lože pod šachty</t>
  </si>
  <si>
    <t xml:space="preserve">"uvažováno celá vzdálenost do 15km" </t>
  </si>
  <si>
    <t>871251211</t>
  </si>
  <si>
    <t>Montáž potrubí z PE100 SDR 11 otevřený výkop svařovaných elektrotvarovkou D 110 x 10,0 mm</t>
  </si>
  <si>
    <t>potrubí dvouvrstvé PE100 RC Wavin SafeTech, SDR11, 110x10. L=100m</t>
  </si>
  <si>
    <t>877261101</t>
  </si>
  <si>
    <t>Montáž elektrospojek na potrubí z PE trub d 110</t>
  </si>
  <si>
    <t>Montáž litinových tvarovek jednoosých přírubových otevřený výkop DN 100</t>
  </si>
  <si>
    <t>ztratné 1%</t>
  </si>
  <si>
    <t>Montáž litinových tvarovek jednoosých přírubových otevřený výkop DN 160</t>
  </si>
  <si>
    <t>Montáž vodovodních šoupátek otevřený výkop DN 100</t>
  </si>
  <si>
    <t>Šoupě Hawle E2 DN 100</t>
  </si>
  <si>
    <t>Teleskopická z.z.s. šoupatová Hawle E2 DN 150(L 1,3-1,8 m)</t>
  </si>
  <si>
    <t>Teleskopická z.z.s. šoupatová Hawle E2 DN 100(L 1,3-1,8 m)</t>
  </si>
  <si>
    <t>857262121</t>
  </si>
  <si>
    <t>895941311</t>
  </si>
  <si>
    <t>Zřízení vpusti kanalizační uliční z betonových dílců typ UVB-50</t>
  </si>
  <si>
    <t>592238220</t>
  </si>
  <si>
    <t>vpusť betonová uliční TBV-Q 500/626 VD /dno/ 62,6 x 49,5 x 5 cm</t>
  </si>
  <si>
    <t>592238250</t>
  </si>
  <si>
    <t>vpusť betonová uliční TBV-Q 500/290 /skruž/ 29x50x5 cm</t>
  </si>
  <si>
    <t>592238580</t>
  </si>
  <si>
    <t>skruž betonová pro uliční vpusť horní TBV-Q 450/555/5d, 45x55x5 cm</t>
  </si>
  <si>
    <t>592238640</t>
  </si>
  <si>
    <t>prstenec betonový pro uliční vpusť vyrovnávací TBV-Q 390/60/10a, 39x6x5 cm</t>
  </si>
  <si>
    <t>592238760</t>
  </si>
  <si>
    <t>rám zabetonovaný DIN 19583-9 500/500 mm</t>
  </si>
  <si>
    <t>592238780</t>
  </si>
  <si>
    <t>mříž M1 D400 DIN 19583-13, 500/500 mm</t>
  </si>
  <si>
    <t>"pro uliční vpusť" 2 ks</t>
  </si>
  <si>
    <t>Řezání stávajícího živičného krytu hl do 150 mm</t>
  </si>
  <si>
    <t>Šoupě Hawle E2 DN 150</t>
  </si>
  <si>
    <t>koleno kanalizační PP Master  SN12 15 ° DN 150</t>
  </si>
  <si>
    <t>koleno kanalizační PP Master SN12 30 ° DN 150</t>
  </si>
  <si>
    <t>koleno kanalizační PP Master SN12 45 ° DN 150</t>
  </si>
  <si>
    <t>spojka přesuvná PP Master SN 12 DN 150</t>
  </si>
  <si>
    <t>113107182</t>
  </si>
  <si>
    <t>Odstranění asfaltové vrstvy pl.nad 50m2, tl.do 10cm</t>
  </si>
  <si>
    <t>Asfaltový beton vrstva podkladní ACP 16 (obalované kamenivo OKS) tl 50 mm š do 3 m</t>
  </si>
  <si>
    <t>565135111</t>
  </si>
  <si>
    <t>577144211</t>
  </si>
  <si>
    <t>Asfaltový beton vrstva obrusná ACO 11 (ABS) tř. II tl 50 mm š do 3 m z nemodifikovaného asfaltu</t>
  </si>
  <si>
    <t>Demontáž vodovodních šoupátek otevřený výkop DN 150</t>
  </si>
  <si>
    <t>potrubí vodovodní PE100 RC SDR11 6 m, 100 m, 32 x 3,0 mm</t>
  </si>
  <si>
    <t>857312121</t>
  </si>
  <si>
    <t>400215000016T</t>
  </si>
  <si>
    <t>891261111</t>
  </si>
  <si>
    <t>950205010003T</t>
  </si>
  <si>
    <t>28614522R</t>
  </si>
  <si>
    <t>28654579R</t>
  </si>
  <si>
    <t>28654598R</t>
  </si>
  <si>
    <t>28654599R</t>
  </si>
  <si>
    <t>28654600R</t>
  </si>
  <si>
    <t>28654624R</t>
  </si>
  <si>
    <t xml:space="preserve">"dle položky zásypu" </t>
  </si>
  <si>
    <t>Montáž litinového potrubí tvárná litina Standard TT  DN150</t>
  </si>
  <si>
    <t xml:space="preserve">potrubí tvárná litina Standard TT DN150 </t>
  </si>
  <si>
    <t>koleno 45° SYSTEM 2000 d 110</t>
  </si>
  <si>
    <t>T kus Hawle DN 150/100</t>
  </si>
  <si>
    <t>bez přípojek</t>
  </si>
  <si>
    <t>Plastové dno šachty přímé DN 600/400 PP</t>
  </si>
  <si>
    <t>Trubka korugovaná bez hrdla DN 600/2000 PP</t>
  </si>
  <si>
    <t xml:space="preserve">Těsnění k telesk. adaptéru a bet. prstenci pr. 600 </t>
  </si>
  <si>
    <t>Betonový prstenec DN 600</t>
  </si>
  <si>
    <t>koš pozink. C3 DIN 4052, vysoký, pro rám 500/500</t>
  </si>
  <si>
    <t>Zabezpečení konců potrubí DN do 400 při zkoušce těsnosti stok</t>
  </si>
  <si>
    <t xml:space="preserve">řady </t>
  </si>
  <si>
    <t>851601104</t>
  </si>
  <si>
    <t>422935306R</t>
  </si>
  <si>
    <t>422935325R</t>
  </si>
  <si>
    <t>422935323R</t>
  </si>
  <si>
    <t>854511000016R</t>
  </si>
  <si>
    <t>286131100R</t>
  </si>
  <si>
    <t>286136604R</t>
  </si>
  <si>
    <t>851015010016T</t>
  </si>
  <si>
    <t>R002</t>
  </si>
  <si>
    <t xml:space="preserve">J.cena </t>
  </si>
  <si>
    <t>Cena celkem</t>
  </si>
  <si>
    <t>VRN</t>
  </si>
  <si>
    <t>Vedlejší rozpočtové náklady</t>
  </si>
  <si>
    <t>VRN1</t>
  </si>
  <si>
    <t>Průzkumné, geodetické a projektové práce</t>
  </si>
  <si>
    <t>020001000</t>
  </si>
  <si>
    <t>Příprava staveniště - vytyčení inženýrských sítí</t>
  </si>
  <si>
    <t>soubor</t>
  </si>
  <si>
    <t>2</t>
  </si>
  <si>
    <t>030001000</t>
  </si>
  <si>
    <t>Zařízení staveniště</t>
  </si>
  <si>
    <t>3</t>
  </si>
  <si>
    <t>012002000</t>
  </si>
  <si>
    <t>049103000</t>
  </si>
  <si>
    <t>Zpracování DIO a zajištění dopravně inženýrských rozhodnutí</t>
  </si>
  <si>
    <t>060001000</t>
  </si>
  <si>
    <t>090001000</t>
  </si>
  <si>
    <t>Zkouška signalizačního vodiče</t>
  </si>
  <si>
    <t>Průzkumné, geodetické a projektové práce - celkem</t>
  </si>
  <si>
    <t>Vedlejší rozpočtové náklady - celkem bez DPH</t>
  </si>
  <si>
    <t>ČÁST</t>
  </si>
  <si>
    <t>CELKEM</t>
  </si>
  <si>
    <t>VEDLEJŠÍ ROZPOČTOVÉ NÁKLADY</t>
  </si>
  <si>
    <t>VÝMĚNA VODOVODU A KANALIZACE</t>
  </si>
  <si>
    <t>DPH 21%</t>
  </si>
  <si>
    <t>INVESTOR: MĚSTO ČESKÝ BROD, NÁMĚSTÍ HUSOVO 70, 282 01 ČESKÝ BROD,IČO 00235334</t>
  </si>
  <si>
    <t>Zkoušky hydrantu - 1ks</t>
  </si>
  <si>
    <t>592238741</t>
  </si>
  <si>
    <t>R007</t>
  </si>
  <si>
    <t>R008</t>
  </si>
  <si>
    <t>099901000</t>
  </si>
  <si>
    <t>Zúčtovatelná rezerva 10% z ceny díla</t>
  </si>
  <si>
    <t>113107163</t>
  </si>
  <si>
    <t>Odstranění podkladu pl přes 50 do 200 m2 z kameniva drceného tl 300 mm</t>
  </si>
  <si>
    <t>132301202</t>
  </si>
  <si>
    <t>Hloubení rýh š do 2000 mm v hornině tř. 4 objemu do 1000 m3</t>
  </si>
  <si>
    <t>132301209</t>
  </si>
  <si>
    <t>Příplatek za lepivost k hloubení rýh š do 2000 mm v hornině tř. 4</t>
  </si>
  <si>
    <t>133302012</t>
  </si>
  <si>
    <t>Hloubení šachet ručním nebo pneum nářadím v soudržných horninách tř. 4, plocha výkopu do 20 m2</t>
  </si>
  <si>
    <t>573111115</t>
  </si>
  <si>
    <t>Postřik živičný infiltrační s posypem z asfaltu množství 2,5 kg/m2</t>
  </si>
  <si>
    <t>573211111</t>
  </si>
  <si>
    <t>Postřik živičný spojovací z asfaltu v množství do 0,70 kg/m2</t>
  </si>
  <si>
    <t>spojka SYNOFLEX d160</t>
  </si>
  <si>
    <t>spojka SYNOFLEX DN150 / d160 s přírubou</t>
  </si>
  <si>
    <t>spojka SYNOFLEX DN100 / d110 s přírubou</t>
  </si>
  <si>
    <t>"komunikace, uvažovaný výkop kanalizace š.1,1m, vodovod š.0,7m, přípojky š.1,0m</t>
  </si>
  <si>
    <t xml:space="preserve">"kanalizační přípojky v asfaltu na levou stranu RD od Ruské bráno v asflatu délky 2,5m, na pravou stranu RD od Ruské 3,5m, zbylá část do uvažované délky 6,0m na přípojku v chodníku" </t>
  </si>
  <si>
    <t xml:space="preserve">"RD levá strana od Ruské" </t>
  </si>
  <si>
    <t>Mezisoučet kanalizační přípojky RD levá strana od Ruské</t>
  </si>
  <si>
    <t>Mezisoučet kanalizační řad</t>
  </si>
  <si>
    <t xml:space="preserve">"RD pravá strana od Ruské" </t>
  </si>
  <si>
    <t>Mezisoučet kanalizační přípojky RD pravá strana od Ruské</t>
  </si>
  <si>
    <t xml:space="preserve">Mezisoučet kanalizační řad a přípojky </t>
  </si>
  <si>
    <t xml:space="preserve">"vodovodní přípojky v asfaltu na levou stranu RD od Ruské bráno v asflatu délky 2,5m, na pravou stranu RD od Ruské 3,5m, zbylá část do uvažované délky 6,0m na přípojku v chodníku" </t>
  </si>
  <si>
    <t>Mezisoučet vodovodní přípojky RD levá strana od Ruské</t>
  </si>
  <si>
    <t>Mezisoučet vodovodní přípojky RD pravá strana od Ruské</t>
  </si>
  <si>
    <t xml:space="preserve">Mezisoučet vodovodní řad a přípojky </t>
  </si>
  <si>
    <t>Mezisoučet vodovodní řad</t>
  </si>
  <si>
    <t>"uliční vpusti u ul.Pod Velkým vrchem, bráno hl. 1,5m, š.1,0m, dl.6m-2 ks</t>
  </si>
  <si>
    <t>Mezisoučet uliční vpusti</t>
  </si>
  <si>
    <t>"čp.856 - hromadná dešť+splašk." (1,5-0,4)*1,0*2,5</t>
  </si>
  <si>
    <t>"uliční vpusti u ul.Pod Velkým vrchem" 2,0*(1,5-0,4)*1,0*6,0</t>
  </si>
  <si>
    <t xml:space="preserve">"kanalizační šachty -výkop uvažován pouze pro novou plastovou šachtu, odstranění povrchů i pro koncové" </t>
  </si>
  <si>
    <t>"koncové šachty" 2,0*2,0*2,0</t>
  </si>
  <si>
    <t>"navíc plastová šachta uprostřed trasy" 1,0*1,0*1,0</t>
  </si>
  <si>
    <t>Uvažované množství 50%tř.3 a 50% tř.4</t>
  </si>
  <si>
    <t>"kanalizační řad v asfaltu" (1,5-0,4)*1,1*(116,0-6,0)</t>
  </si>
  <si>
    <t>"kanalizace hl. PVV 218,78-217,28, tj. 1,5m, Ruská 217,48-215,97, tj.1,51m, brána hloubka 1,5m, odpočet 6,0m již pro vedeno Pod Velkým vrchem</t>
  </si>
  <si>
    <t>"kanalizační řad v asfaltu" 1,1*(116,0-6,0)</t>
  </si>
  <si>
    <t>"čp.837 - samostatný dešť svod." 1,0*2,5</t>
  </si>
  <si>
    <t>"čp.840 - hromadná dešť+splašk." 1,0*2,5</t>
  </si>
  <si>
    <t>"čp.840 - samostatný dešť svod." 1,0*2,5</t>
  </si>
  <si>
    <t>"čp.846 - hromadná dešť+splašk." 1,0*2,5</t>
  </si>
  <si>
    <t>"čp.854 - hromadná dešť+splašk." 1,0*2,5</t>
  </si>
  <si>
    <t>"čp.855 - samostatný dešť svod." 1,0*2,5</t>
  </si>
  <si>
    <t>"čp.855 - splašk.." 1,0*2,5</t>
  </si>
  <si>
    <t>"čp.856 - hromadná dešť+splašk." 1,0*2,5</t>
  </si>
  <si>
    <t>"čp.856 - samostatný dešť svod." 1,0*2,5</t>
  </si>
  <si>
    <t>"čp.857 - hromadná dešť+splašk." 1,0*2,5</t>
  </si>
  <si>
    <t>"čp.858 - hromadná dešť+splašk." 1,0*2,5</t>
  </si>
  <si>
    <t>"čp.859 - hromadná dešť+splašk." 1,0*2,5</t>
  </si>
  <si>
    <t>"čp.859 - samostatný dešť svod." 1,0*2,5</t>
  </si>
  <si>
    <t>"čp.896 - samostatný dešť svod." 1,0*3,5</t>
  </si>
  <si>
    <t>"čp.914 - hromadná dešť+splašk." 1,0*3,5</t>
  </si>
  <si>
    <t>"čp.913 - samostatný dešť svod." 1,0*3,5</t>
  </si>
  <si>
    <t>"čp.913 - splašk." 1,0*3,5</t>
  </si>
  <si>
    <t>"čp.893 - hromadná dešť+splašk." 1,0*3,5</t>
  </si>
  <si>
    <t>"čp.893 - samostatný dešť svod." 1,0*3,5</t>
  </si>
  <si>
    <t>"čp.892 - hromadná dešť+splašk." 1,0*3,5</t>
  </si>
  <si>
    <t>"čp.892 - samostatný dešť svod." 1,0*3,5</t>
  </si>
  <si>
    <t>"čp.891 - hromadná dešť+splašk."1,0*3,5</t>
  </si>
  <si>
    <t>"čp.909 - splašk." 1,0*3,5</t>
  </si>
  <si>
    <t>"čp.909 - samostatný dešť svod." 1,0*3,5</t>
  </si>
  <si>
    <t>"čp.935 - hromadná dešť+splašk." 1,0*3,5</t>
  </si>
  <si>
    <t>"čp.929 - hromadná dešť+splašk." 1,0*3,5</t>
  </si>
  <si>
    <t>"uliční vpusti u ul.Pod Velkým vrchem" 2,0*1,0*6,0</t>
  </si>
  <si>
    <t>"vodovodní řad hl.1,7m, šíře 0,7, vodovodní přípojky hl.1,5-1,7m, š.1,0m, dl.116,0m, odpočet 6,0m z Pod Velkým vrchem provedeno</t>
  </si>
  <si>
    <t>"vodovodní řad" 0,7*(116,0-6,0)</t>
  </si>
  <si>
    <t>"čp.837" - přípojka z Ruské</t>
  </si>
  <si>
    <t>"čp.840" 1,0*2,5</t>
  </si>
  <si>
    <t>"čp.846" 1,0*2,5</t>
  </si>
  <si>
    <t>"čp.854" 1,0*2,5</t>
  </si>
  <si>
    <t>"čp.855" 1,0*2,5</t>
  </si>
  <si>
    <t>"čp.856" 1,0*2,5</t>
  </si>
  <si>
    <t>"čp.857" 1,0*2,5</t>
  </si>
  <si>
    <t>"čp.858" 1,0*2,5</t>
  </si>
  <si>
    <t>"čp.859" 1,0*2,5</t>
  </si>
  <si>
    <t>"čp.896 - přípojka z Ruské</t>
  </si>
  <si>
    <t>"čp.914" 1,0*3,5</t>
  </si>
  <si>
    <t>"čp.913" 1,0*3,5</t>
  </si>
  <si>
    <t>"čp.893" 1,0*3,5</t>
  </si>
  <si>
    <t>"čp.892" 1,0*3,5</t>
  </si>
  <si>
    <t>"čp.891" 1,0*3,5</t>
  </si>
  <si>
    <t>"čp.909" 1,0*3,5</t>
  </si>
  <si>
    <t>"čp.935" 1,0*3,5</t>
  </si>
  <si>
    <t>"čp.929" 1,0*3,5</t>
  </si>
  <si>
    <t>"čp.942 - přípojka z Pod Velkým vrchem</t>
  </si>
  <si>
    <t>"čp.942 - samostatný dešť.svod" 1,0*3,5</t>
  </si>
  <si>
    <t>"uliční vpusti u ul.Pod Velkým vrchem, bráno hl. 1,5m, š.1,0m, dl.6m-2 ks přípojek</t>
  </si>
  <si>
    <t>"vodovodní řad" (1,7-0,4)*0,7*(116,0-6,0)</t>
  </si>
  <si>
    <t>"vodovodní řad hl.1,7m, šíře 0,7, vodovodní přípojky hl.1,5-1,7m, š.1,0, odpočet 6,0m provedeno z Pod Velkým vrchem"</t>
  </si>
  <si>
    <t>"navíc plastová šachta uprostřed trasy" 1,0*(1,5+2,0*0,1)*1,0*1,0</t>
  </si>
  <si>
    <t>"koncové šachty" 2,0*(2,0+2,0*0,1)*2,0*2,0*0</t>
  </si>
  <si>
    <t>uvažováno 50% tř.3 a 50% tř.4</t>
  </si>
  <si>
    <t>"čp.837 - samostatný dešť svod." (1,5-0,4)*1,0*2,5 - asfalt</t>
  </si>
  <si>
    <t>"čp.840 - samostatný dešť svod." (1,5-0,4)*1,0*2,5 - asfalt</t>
  </si>
  <si>
    <t>"čp.846 - hromadná dešť+splašk." (1,5-0,4)*1,0*2,5 - asfalt</t>
  </si>
  <si>
    <t>"čp.854 - hromadná dešť+splašk." (1,5-0,4)*1,0*2,5 - asfalt</t>
  </si>
  <si>
    <t>"čp.855 - samostatný dešť svod." (1,5-0,1)*1,0*2,5 - dlažba</t>
  </si>
  <si>
    <t>"čp.837 - samostatný dešť svod." (1,5-0,1)*1,0*2,5 - dlažba</t>
  </si>
  <si>
    <t>"čp.840 - samostatný dešť svod." (1,5-0,1)*1,0*2,5 - dlažba</t>
  </si>
  <si>
    <t>"čp.855 - samostatný dešť svod." (1,5-0,4)*1,0*2,5 - asfalt</t>
  </si>
  <si>
    <t>"čp.855 - splašk.." (1,5-0,4)*1,0*2,5 - asfalt</t>
  </si>
  <si>
    <t>"čp.855 - splašk." (1,5-0,1)*1,0*3,5 - dlažba</t>
  </si>
  <si>
    <t>"čp.856 - samostatný dešť svod." (1,5-0,1)*1,0*2,5 - dlažba</t>
  </si>
  <si>
    <t>"čp.859 - samostatný dešť svod." (1,5-0,1)*1,0*2,5 - dlažba</t>
  </si>
  <si>
    <t>"čp.856 - samostatný dešť svod." (1,5-0,4)*1,0*2,5 - asfalt</t>
  </si>
  <si>
    <t>"čp.857 - hromadná dešť+splašk." (1,5-0,4)*1,0*2,5 - asfalt</t>
  </si>
  <si>
    <t>"čp.858 - hromadná dešť+splašk." (1,5-0,4)*1,0*2,5 - asfalt</t>
  </si>
  <si>
    <t>"čp.859 - hromadná dešť+splašk." (1,5-0,4)*1,0*2,5 - asfalt</t>
  </si>
  <si>
    <t>"čp.859 - samostatný dešť svod." (1,5-0,4)*1,0*2,5  -asfalt</t>
  </si>
  <si>
    <t>"čp.896 - samostatný dešť svod." (1,5-0,4)*1,0*3,5 - asfalt</t>
  </si>
  <si>
    <t>"čp.896 - samostatný dešť svod." (1,5-0,1)*1,0*2,5 - dlažba</t>
  </si>
  <si>
    <t>"čp.914 - hromadná dešť+splašk." (1,5-0,4)*1,0*3,5 - asfalt</t>
  </si>
  <si>
    <t>"čp.913 - samostatný dešť svod." (1,5-0,4)*1,0*3,5 - asfalt</t>
  </si>
  <si>
    <t>"čp.913 - samostatný dešť svod." (1,5-0,1)*1,0*2,5 - dlažba</t>
  </si>
  <si>
    <t>"čp.913 - splašk." (1,5-0,1)*1,0*2,5 - dlažba</t>
  </si>
  <si>
    <t>"čp.913 - splašk." (1,5-0,4)*1,0*3,5 - asfalt</t>
  </si>
  <si>
    <t>"čp.893 - samostatný dešť svod." (1,5-0,1)*1,0*2,5 - dlažba</t>
  </si>
  <si>
    <t>"čp.892 - samostatný dešť svod." (1,5-0,1)*1,0*2,5 - dlažba</t>
  </si>
  <si>
    <t>"čp.909 - splašk." (1,5-0,1)*1,0*2,5 - dlažba</t>
  </si>
  <si>
    <t>"čp.909 - splašk." (1,5-0,4)*1,0*3,5 - asfalt</t>
  </si>
  <si>
    <t>"čp.891 - hromadná dešť+splašk." (1,5-0,4)*1,0*3,5 - asfalt</t>
  </si>
  <si>
    <t>"čp.892 - samostatný dešť svod." (1,5-0,4)*1,0*3,5 - asfalt</t>
  </si>
  <si>
    <t>"čp.892 - hromadná dešť+splašk." (1,5-0,4)*1,0*3,5 - asfalt</t>
  </si>
  <si>
    <t>"čp.893 - samostatný dešť svod." (1,5-0,4)*1,0*3,5 - asfalt</t>
  </si>
  <si>
    <t>"čp.893 - hromadná dešť+splašk." (1,5-0,4)*1,0*3,5 - asfalt</t>
  </si>
  <si>
    <t>"čp.909 - samostatný dešť svod." (1,5-0,1)*1,0*2,5 - dlažba</t>
  </si>
  <si>
    <t>"čp.909 - samostatný dešť svod." (1,5-0,4)*1,0*3,5 - asfalt</t>
  </si>
  <si>
    <t>"čp.935 - hromadná dešť+splašk." (1,5-0,4)*1,0*3,5 - asfalt</t>
  </si>
  <si>
    <t>"čp.942 - samostatný dešť svod." (1,5-0,1)*1,0*2,5 - dlažba</t>
  </si>
  <si>
    <t>"čp.929 - hromadná dešť+splašk." (1,5-0,4)*1,0*3,5 - asfalt</t>
  </si>
  <si>
    <t>"čp.942 - samostatný dešť.svod" (1,5-0,4)*1,0*3,5 - asfalt</t>
  </si>
  <si>
    <t>"čp.846 - hromadná dešť+splašk." (1,5-0,1)*1,0*(3,5+1,0) - dlažba</t>
  </si>
  <si>
    <t>"čp.854 - hromadná dešť+splašk." (1,5-0,1)*1,0*(3,5+1,0) - dlažba</t>
  </si>
  <si>
    <t>"čp.856 - hromadná dešť+splašk." (1,5-0,1)*1,0*(3,5+1,0) - dlažba</t>
  </si>
  <si>
    <t>"čp.857 - hromadná dešť+splašk." (1,5-0,1)*1,0*(3,5+1,0) - dlažba</t>
  </si>
  <si>
    <t>"čp.858 - hromadná dešť+splašk." (1,5-0,1)*1,0*(3,5+1,0) - dlažba</t>
  </si>
  <si>
    <t>"čp.859 - hromadná dešť+splašk." (1,5-0,1)*1,0*(3,5+1,0) - dlažba</t>
  </si>
  <si>
    <t>"čp.914 - hromadná dešť+splašk." (1,5-0,1)*1,0*(3,5+1,0) - dlažba</t>
  </si>
  <si>
    <t>"čp.893 - hromadná dešť+splašk." (1,5-0,1)*1,0*(3,5+1,0) - dlažba</t>
  </si>
  <si>
    <t>"čp.892 - hromadná dešť+splašk." (1,5-0,1)*1,0*(3,5+1,0) - dlažba</t>
  </si>
  <si>
    <t>"čp.891 - hromadná dešť+splašk." (1,5-0,1)*1,0*(3,5+1,0) - dlažba</t>
  </si>
  <si>
    <t>"čp.935 - hromadná dešť+splašk." (1,5-0,1)*1,0*(3,5+1,0) - dlažba</t>
  </si>
  <si>
    <t>"čp.929 - hromadná dešť+splašk." (1,5-0,1)*1,0*(3,5+1,0) - dlažba</t>
  </si>
  <si>
    <t>Součet šachty</t>
  </si>
  <si>
    <t>"kanalizační řad v asfaltu" 2,0*1,5*(116,0-6,0)</t>
  </si>
  <si>
    <t>"čp.837 - samostatný dešť svod." 2,0*1,5*2,5 - asfalt</t>
  </si>
  <si>
    <t>"čp.837 - samostatný dešť svod." 2,0*1,5*2,5 - dlažba</t>
  </si>
  <si>
    <t>"čp.840 - samostatný dešť svod." 2,0*1,5*2,5 - asfalt</t>
  </si>
  <si>
    <t>"čp.840 - samostatný dešť svod." 2,0*1,5*2,5 - dlažba</t>
  </si>
  <si>
    <t>"čp.846 - hromadná dešť+splašk." 2,0*1,5*2,5 - asfalt</t>
  </si>
  <si>
    <t>"čp.846 - hromadná dešť+splašk." 2,0*1,5*(3,5+1,0) - dlažba</t>
  </si>
  <si>
    <t>"čp.854 - hromadná dešť+splašk." 2,0*1,5*2,5 - asfalt</t>
  </si>
  <si>
    <t>"čp.854 - hromadná dešť+splašk." 2,0*1,5*(3,5+1,0) - dlažba</t>
  </si>
  <si>
    <t>"čp.855 - samostatný dešť svod." 2,0*1,5*2,5 - asfalt</t>
  </si>
  <si>
    <t>"čp.855 - samostatný dešť svod." 2,0*1,5*2,5 - dlažba</t>
  </si>
  <si>
    <t>"čp.855 - splašk.." 2,0*1,5*2,5 - asfalt</t>
  </si>
  <si>
    <t>"čp.855 - splašk." 2,0*1,5*3,5 - dlažba</t>
  </si>
  <si>
    <t>"čp.856 - hromadná dešť+splašk." 2,0*1,5*2,5</t>
  </si>
  <si>
    <t>"čp.856 - hromadná dešť+splašk." 2,0*1,5*(3,5+1,0) - dlažba</t>
  </si>
  <si>
    <t>"čp.856 - samostatný dešť svod." 2,0*1,5*2,5 - asfalt</t>
  </si>
  <si>
    <t>"čp.856 - samostatný dešť svod." 2,0*1,5*2,5 - dlažba</t>
  </si>
  <si>
    <t>"čp.857 - hromadná dešť+splašk." 2,0*1,5*2,5 - asfalt</t>
  </si>
  <si>
    <t>"čp.857 - hromadná dešť+splašk." 2,0*1,5*(3,5+1,0) - dlažba</t>
  </si>
  <si>
    <t>"čp.858 - hromadná dešť+splašk." 2,0*1,5*2,5 - asfalt</t>
  </si>
  <si>
    <t>"čp.858 - hromadná dešť+splašk." 2,0*1,5*(3,5+1,0) - dlažba</t>
  </si>
  <si>
    <t>"čp.859 - hromadná dešť+splašk." 2,0*1,5*2,5 - asfalt</t>
  </si>
  <si>
    <t>"čp.859 - hromadná dešť+splašk."2,0*1,5*(3,5+1,0) - dlažba</t>
  </si>
  <si>
    <t>"čp.859 - samostatný dešť svod." 2,0*1,5*2,5  -asfalt</t>
  </si>
  <si>
    <t>"čp.859 - samostatný dešť svod." 2,0*1,5*2,5 - dlažba</t>
  </si>
  <si>
    <t>"čp.896 - samostatný dešť svod." 2,0*1,5*3,5 - asfalt</t>
  </si>
  <si>
    <t>"čp.896 - samostatný dešť svod." 2,0*1,5*2,5 - dlažba</t>
  </si>
  <si>
    <t>"čp.914 - hromadná dešť+splašk." 2,0*1,5*3,5 - asfalt</t>
  </si>
  <si>
    <t>"čp.914 - hromadná dešť+splašk." 2,0*1,5*(3,5+1,0) - dlažba</t>
  </si>
  <si>
    <t>"čp.913 - samostatný dešť svod." 2,0*1,5*3,5 - asfalt</t>
  </si>
  <si>
    <t>"čp.913 - samostatný dešť svod." 2,0*1,5*2,5 - dlažba</t>
  </si>
  <si>
    <t>"čp.913 - splašk." 2,0*1,5*3,5 - asfalt</t>
  </si>
  <si>
    <t>"čp.913 - splašk." 2,0*1,5*2,5 - dlažba</t>
  </si>
  <si>
    <t>"čp.893 - hromadná dešť+splašk." 2,0*1,5*3,5 - asfalt</t>
  </si>
  <si>
    <t>"čp.893 - hromadná dešť+splašk." 2,0*1,5*(3,5+1,0) - dlažba</t>
  </si>
  <si>
    <t>"čp.893 - samostatný dešť svod."2,0*1,5*3,5 - asfalt</t>
  </si>
  <si>
    <t>"čp.893 - samostatný dešť svod." 2,0*1,5*2,5 - dlažba</t>
  </si>
  <si>
    <t>"čp.892 - hromadná dešť+splašk." 2,0*1,5*3,5 - asfalt</t>
  </si>
  <si>
    <t>"čp.892 - hromadná dešť+splašk." 2,0*1,5*(3,5+1,0) - dlažba</t>
  </si>
  <si>
    <t>"čp.892 - samostatný dešť svod." 2,0*1,5*3,5 - asfalt</t>
  </si>
  <si>
    <t>"čp.892 - samostatný dešť svod." 2,0*1,5*2,5 - dlažba</t>
  </si>
  <si>
    <t>"čp.891 - hromadná dešť+splašk." 2,0*1,5*3,5 - asfalt</t>
  </si>
  <si>
    <t>"čp.891 - hromadná dešť+splašk." 2,0*1,5*(3,5+1,0) - dlažba</t>
  </si>
  <si>
    <t>"čp.909 - splašk." 2,0*1,5*3,5 - asfalt</t>
  </si>
  <si>
    <t>"čp.909 - splašk." 2,0*1,5*2,5 - dlažba</t>
  </si>
  <si>
    <t>"čp.909 - samostatný dešť svod." 2,0*1,5*3,5 - asfalt</t>
  </si>
  <si>
    <t>"čp.909 - samostatný dešť svod." 2,0*1,5*2,5 - dlažba</t>
  </si>
  <si>
    <t>"čp.935 - hromadná dešť+splašk." 2,0*1,5*3,5 - asfalt</t>
  </si>
  <si>
    <t>"čp.935 - hromadná dešť+splašk." 2,0*1,5*(3,5+1,0) - dlažba</t>
  </si>
  <si>
    <t>"čp.929 - hromadná dešť+splašk." 2,0*1,5*3,5 - asfalt</t>
  </si>
  <si>
    <t>"čp.929 - hromadná dešť+splašk." 2,0*1,5*(3,5+1,0) - dlažba</t>
  </si>
  <si>
    <t>"čp.942 - samostatný dešť.svod" 2,0*1,5*3,5 - asfalt</t>
  </si>
  <si>
    <t>"čp.942 - samostatný dešť svod." 2,0*1,5*2,5 - dlažba</t>
  </si>
  <si>
    <t>"vodovodní řad" 2,0*1,7*(116,0-6,0)</t>
  </si>
  <si>
    <t>předpoklad jeden výkop pro V+K</t>
  </si>
  <si>
    <t>"koncové šachty" 2,0*(2,0+2,0*0,1)*4,0*2,0</t>
  </si>
  <si>
    <t>"navíc plastová šachta uprostřed trasy" 2,0*(1,5+2,0*0,1)*4,0*1,0</t>
  </si>
  <si>
    <t>"čp.896" (1,5-0,4)*1,0*3,5 - asfalt</t>
  </si>
  <si>
    <t>"čp.914" (1,5-0,4)*1,0*3,5 - asfalt</t>
  </si>
  <si>
    <t>"čp.913" (1,5-0,4)*1,0*3,5 - asfalt</t>
  </si>
  <si>
    <t>"čp.893" (1,5-0,4)*1,0*3,5 - asfalt</t>
  </si>
  <si>
    <t>"čp.892" (1,5-0,4)*1,0*3,5 - asfalt</t>
  </si>
  <si>
    <t>"čp.891" (1,5-0,4)*1,0*3,5 - asfalt</t>
  </si>
  <si>
    <t>"čp.909" (1,5-0,4)*1,0*3,5 - asfalt</t>
  </si>
  <si>
    <t>"čp.935" (1,5-0,4)*1,0*3,5 - asfalt</t>
  </si>
  <si>
    <t>"čp.929" (1,5-0,4)*1,0*3,5 - asfalt</t>
  </si>
  <si>
    <t>"čp.840" (1,5-0,4)*1,0*2,5 - asfalt</t>
  </si>
  <si>
    <t>"čp.846" (1,5-0,4)*1,0*2,5 - asfalt</t>
  </si>
  <si>
    <t>"čp.854" (1,5-0,4)*1,0*2,5 - asfalt</t>
  </si>
  <si>
    <t>"čp.855" (1,5-0,4)*1,0*2,5 - asfalt</t>
  </si>
  <si>
    <t>"čp.856" (1,5-0,4)*1,0*2,5 - asfalt</t>
  </si>
  <si>
    <t>"čp.857" (1,5-0,4)*1,0*2,5 - asfalt</t>
  </si>
  <si>
    <t>"čp.858" (1,5-0,4)*1,0*2,5 - asfalt</t>
  </si>
  <si>
    <t>"čp.859" (1,5-0,4)*1,0*2,5 - asfalt</t>
  </si>
  <si>
    <t>"čp.840" 2,0*1,5*2,5 - asfalt</t>
  </si>
  <si>
    <t>"čp.840" 2,0*1,5*2,5 - dlažba</t>
  </si>
  <si>
    <t>"čp.846" 2,0*1,5*2,5 - asfalt</t>
  </si>
  <si>
    <t>"čp.846" 2,0*1,5*2,5 - dlažba</t>
  </si>
  <si>
    <t>"čp.854" 2,0*1,5*2,5 - asfalt</t>
  </si>
  <si>
    <t>"čp.855" 2,0*1,5*2,5 - asfalt</t>
  </si>
  <si>
    <t>"čp.856" 2,0*1,5*2,5 - asfalt</t>
  </si>
  <si>
    <t>"čp.857" 2,0*1,5*2,5 - asfalt</t>
  </si>
  <si>
    <t>"čp.854" 2,0*1,5*2,5 - dlažba</t>
  </si>
  <si>
    <t>"čp.855" 2,0*1,5*2,5 - dlažba</t>
  </si>
  <si>
    <t>"čp.856" 2,0*1,5*2,5 - dlažba</t>
  </si>
  <si>
    <t>"čp.857" 2,0*1,5*2,5 - dlažba</t>
  </si>
  <si>
    <t>"čp.858" 2,0*1,5*2,5 - asfalt</t>
  </si>
  <si>
    <t>"čp.858" 2,0*1,5*2,5 - dlažba</t>
  </si>
  <si>
    <t>"čp.859" 2,0*1,5*2,5 - dlažba</t>
  </si>
  <si>
    <t>"čp.859" 2,0*1,5*2,5 - asfalt</t>
  </si>
  <si>
    <t>"čp.896" 2,0*1,5*2,5 - dlažba</t>
  </si>
  <si>
    <t>"čp.914" 2,0*1,5*3,5 - asfalt</t>
  </si>
  <si>
    <t>"čp.914" 2,0*1,5*2,5 - dlažba</t>
  </si>
  <si>
    <t>"čp.913" 2,0*1,5*3,5 - asfalt</t>
  </si>
  <si>
    <t>"čp.913" 2,0*1,5*2,5 - dlažba</t>
  </si>
  <si>
    <t>"čp.893" 2,0*1,5*2,5 - dlažba</t>
  </si>
  <si>
    <t>"čp.893" 2,0*1,5*3,5 - asfalt</t>
  </si>
  <si>
    <t>"čp.892" 2,0*1,5*2,5 dlažba</t>
  </si>
  <si>
    <t>"čp.892" 2,0*1,5*3,5 - asfalt</t>
  </si>
  <si>
    <t>"čp.891" 2,0*1,5*2,5 - dlažba</t>
  </si>
  <si>
    <t>"čp.891" 2,0*1,5*3,5 - asfalt</t>
  </si>
  <si>
    <t>"čp.909" 2,0*1,5*3,5 - asfalt</t>
  </si>
  <si>
    <t>"čp.935" 2,0*1,5*3,5 - asfalt</t>
  </si>
  <si>
    <t>"čp.929" 2,0*1,5*3,5 - asfalt</t>
  </si>
  <si>
    <t>"čp.909" 2,0*1,5*2,5 - dlažba</t>
  </si>
  <si>
    <t>"čp.935" 2,0*1,5*2,5 - dlažba</t>
  </si>
  <si>
    <t>"čp.929" 2,0*1,5*2,5 - dlažba</t>
  </si>
  <si>
    <t>ODPOČET POTRUBÍ KANALIZAČNÍ ŘADY -3,14*0,4*0,4/4,0*(116,0-6,0)</t>
  </si>
  <si>
    <t>ODPOČET POTRUBÍ KANALIZAČNÍ PŘÍPOJKY - PRO ULIČNÍ VPUSŤ -3,14*0,15*0,15/4,0*6,0*2,0</t>
  </si>
  <si>
    <t>ODPOČET POTRUBÍ VODOVODNÍ ŘADY -3,14*0,160*0,160/4,0*(116,0-6,0)</t>
  </si>
  <si>
    <t>"kanalizační řad v asfaltu" (0,4+0,3)*1,1*(116,0-6,0)</t>
  </si>
  <si>
    <t>"čp.837 - samostatný dešť svod." (0,15+0,3)*1,0*2,5 - dlažba</t>
  </si>
  <si>
    <t>"čp.837 - samostatný dešť svod." (0,15+0,3)*1,0*2,5 - asfalt</t>
  </si>
  <si>
    <t>"čp.840 - samostatný dešť svod." (0,15+0,3)*1,0*2,5 - asfalt</t>
  </si>
  <si>
    <t>"čp.840 - samostatný dešť svod." (0,15+0,3)*1,0*2,5 - dlažba</t>
  </si>
  <si>
    <t>"čp.846 - hromadná dešť+splašk." (0,15+0,3)*1,0*2,5 - asfalt</t>
  </si>
  <si>
    <t>"čp.846 - hromadná dešť+splašk." (0,15+0,3)*1,0*(3,5+1,0) - dlažba</t>
  </si>
  <si>
    <t>"čp.854 - hromadná dešť+splašk." (0,15+0,3)*1,0*2,5 - asfalt</t>
  </si>
  <si>
    <t>"čp.854 - hromadná dešť+splašk." (0,15+0,3)*1,0*(3,5+1,0) - dlažba</t>
  </si>
  <si>
    <t>"čp.855 - samostatný dešť svod." (0,15+0,3)*1,0*2,5 - asfalt</t>
  </si>
  <si>
    <t>"čp.855 - samostatný dešť svod." (0,15+0,3)*1,0*2,5 - dlažba</t>
  </si>
  <si>
    <t>"čp.855 - splašk.." (0,15+0,3)*1,0*2,5 - asfalt</t>
  </si>
  <si>
    <t>"čp.855 - splašk." (0,15+0,3)*1,0*3,5 - dlažba</t>
  </si>
  <si>
    <t>"čp.856 - hromadná dešť+splašk." (0,15+0,3)*1,0*(3,5+1,0) - dlažba</t>
  </si>
  <si>
    <t>"čp.856 - hromadná dešť+splašk." (0,15+0,3)*1,0*2,5 - asfalt</t>
  </si>
  <si>
    <t>"čp.856 - samostatný dešť svod." (0,15+0,3)*1,0*2,5 - asfalt</t>
  </si>
  <si>
    <t>"čp.856 - samostatný dešť svod." (0,15+0,3)*1,0*2,5 - dlažba</t>
  </si>
  <si>
    <t>"čp.857 - hromadná dešť+splašk." (0,15+0,3)*1,0*2,5 - asfalt</t>
  </si>
  <si>
    <t>"čp.857 - hromadná dešť+splašk." (0,15+0,3)*1,0*(3,5+1,0) - dlažba</t>
  </si>
  <si>
    <t>"čp.858 - hromadná dešť+splašk." (0,15+0,3)*1,0*2,5 - asfalt</t>
  </si>
  <si>
    <t>"čp.858 - hromadná dešť+splašk." (0,15+0,3)*1,0*(3,5+1,0) - dlažba</t>
  </si>
  <si>
    <t>"čp.859 - hromadná dešť+splašk." (0,15+0,3)*1,0*2,5 - asfalt</t>
  </si>
  <si>
    <t>"čp.859 - hromadná dešť+splašk." (0,15+0,3)*1,0*(3,5+1,0) - dlažba</t>
  </si>
  <si>
    <t>"čp.859 - samostatný dešť svod." (0,15+0,3)*1,0*2,5  -asfalt</t>
  </si>
  <si>
    <t>"čp.859 - samostatný dešť svod." (0,15+0,3)*1,0*2,5 - dlažba</t>
  </si>
  <si>
    <t>"vodovodní řad" (0,15+0,3)*0,7*(116,0-6,0)</t>
  </si>
  <si>
    <t>"čp.840" (0,05+0,3)*1,0*2,5 - asfalt</t>
  </si>
  <si>
    <t>"čp.840" (0,05+0,3)*1,0*2,5 - dlažba</t>
  </si>
  <si>
    <t>"čp.846" (0,05+0,3)*1,0*2,5 - asfalt</t>
  </si>
  <si>
    <t>"čp.846" (0,05+0,3)*1,0*2,5 - dlažba</t>
  </si>
  <si>
    <t>"čp.854" (0,05+0,3)*1,0*2,5 - asfalt</t>
  </si>
  <si>
    <t>"čp.854" (0,05+0,3)*1,0*2,5 - dlažba</t>
  </si>
  <si>
    <t>"čp.855" (0,05+0,3)*1,0*2,5 - asfalt</t>
  </si>
  <si>
    <t>"čp.855" (0,05+0,3)*1,0*2,5 - dlažba</t>
  </si>
  <si>
    <t>"čp.856" (0,05+0,3)*1,0*2,5 - asfalt</t>
  </si>
  <si>
    <t>"čp.856" (0,05+0,3)*1,0*2,5 - dlažba</t>
  </si>
  <si>
    <t>"čp.857" (0,05+0,3)*1,0*2,5 - asfalt</t>
  </si>
  <si>
    <t>"čp.857" (0,05+0,3)*1,0*2,5 - dlažba</t>
  </si>
  <si>
    <t>"čp.858" (0,05+0,3)*1,0*2,5 - asfalt</t>
  </si>
  <si>
    <t>"čp.858" (0,05+0,3)*1,0*2,5 - dlažba</t>
  </si>
  <si>
    <t>"čp.859" (0,05+0,3)*1,0*2,5 - asfalt</t>
  </si>
  <si>
    <t>"čp.859" (0,05+0,3)*1,0*2,5 - dlažba</t>
  </si>
  <si>
    <t>"čp.896" (0,05+0,3)*1,0*3,5 - asfalt</t>
  </si>
  <si>
    <t>"čp.896" (0,05+0,3)*1,0*2,5 - dlažba</t>
  </si>
  <si>
    <t>"čp.914" (0,05+0,3)*1,0*3,5 - asfalt</t>
  </si>
  <si>
    <t>"čp.914" (0,05+0,3)*1,0*2,5 - dlažba</t>
  </si>
  <si>
    <t>"čp.913" (0,05+0,3)*1,0*3,5 - asfalt</t>
  </si>
  <si>
    <t>"čp.913" (0,05+0,3)*1,0*2,5 - dlažba</t>
  </si>
  <si>
    <t>"čp.893" (0,05+0,3)*1,0*3,5 - asfalt</t>
  </si>
  <si>
    <t>"čp.893" (0,05+0,3)*1,0*2,5 - dlažba</t>
  </si>
  <si>
    <t>"čp.892" (0,05+0,3)*1,0*3,5 - asfalt</t>
  </si>
  <si>
    <t>"čp.892" (0,05+0,3)*1,0*2,5 - dlažba</t>
  </si>
  <si>
    <t>"čp.891" (0,05+0,3)*1,0*3,5 - asfalt</t>
  </si>
  <si>
    <t>"čp.891" (0,05+0,3)*1,0*2,5 - dlažba</t>
  </si>
  <si>
    <t>"čp.909" (0,05+0,3)*1,0*3,5 - asfalt</t>
  </si>
  <si>
    <t>"čp.909" (0,05+0,3)*1,0*2,5 - dlažba</t>
  </si>
  <si>
    <t>"čp.935" (0,05+0,3)*1,0*3,5 - asfalt</t>
  </si>
  <si>
    <t>"čp.935" (0,05+0,3)*1,0*2,5 - dlažba</t>
  </si>
  <si>
    <t>"čp.929" (0,05+0,3)*1,0*3,5 - asfalt</t>
  </si>
  <si>
    <t>"čp.929" (0,05+0,3)*1,0*2,5 - dlažba</t>
  </si>
  <si>
    <t>"navíc plastová šachta uprostřed trasy" 1,0*(1,5-0,4)*1,0*1,0-3,14*0,6*0,6/4,0*1,0*(1,5-0,4)</t>
  </si>
  <si>
    <t>"kanalizační přípojky"</t>
  </si>
  <si>
    <t>"čp.896" 2,0*1,5*3,5 - asfalt</t>
  </si>
  <si>
    <t>ODPOČET POTRUBÍ PŘÍPOJKY -3,14*0,032*0,032/4,0*(8,0*5,0+9,0*6,0)</t>
  </si>
  <si>
    <t>"chodníky - vodovodní přípojky" 17,0*1,0*2,0</t>
  </si>
  <si>
    <t>"uliční vpusti u ul.Pod Velkým vrchem" 2,0*(0,15+0,3)*1,0*6,0</t>
  </si>
  <si>
    <t>"čp.896 - samostatný dešť svod." (0,15+0,3)*1,0*3,5 - asfalt</t>
  </si>
  <si>
    <t>"čp.896 - samostatný dešť svod." (0,15+0,3)*1,0*2,5 - dlažba</t>
  </si>
  <si>
    <t>"čp.914 - hromadná dešť+splašk." (0,15+0,3)*1,0*3,5 - asfalt</t>
  </si>
  <si>
    <t>"čp.914 - hromadná dešť+splašk." (0,15+0,3)*1,0*(3,5+1,0) - dlažba</t>
  </si>
  <si>
    <t>"čp.913 - samostatný dešť svod." (0,15+0,3)*1,0*3,5 - asfalt</t>
  </si>
  <si>
    <t>"čp.913 - splašk." (0,15+0,3)*1,0*3,5 - asfalt</t>
  </si>
  <si>
    <t>"čp.913 - splašk." (0,15+0,3)*1,0*2,5 - dlažba</t>
  </si>
  <si>
    <t>"čp.913 - samostatný dešť svod." (0,15+0,3)*1,0*2,5 - dlažba</t>
  </si>
  <si>
    <t>"čp.893 - hromadná dešť+splašk." (0,15+0,3)*1,0*3,5 - asfalt</t>
  </si>
  <si>
    <t>"čp.893 - hromadná dešť+splašk." (0,15+0,3)*1,0*(3,5+1,0) - dlažba</t>
  </si>
  <si>
    <t>"čp.893 - samostatný dešť svod." (0,15+0,3)*1,0*3,5 - asfalt</t>
  </si>
  <si>
    <t>"čp.893 - samostatný dešť svod." (0,15+0,3)*1,0*2,5 - dlažba</t>
  </si>
  <si>
    <t>"čp.892 - hromadná dešť+splašk." (0,15+0,3)*1,0*3,5 - asfalt</t>
  </si>
  <si>
    <t>"čp.892 - hromadná dešť+splašk." (0,15+0,3)*1,0*(3,5+1,0) - dlažba</t>
  </si>
  <si>
    <t>"čp.892 - samostatný dešť svod." (0,15+0,3)*1,0*3,5 - asfalt</t>
  </si>
  <si>
    <t>"čp.892 - samostatný dešť svod." (0,15+0,3)*1,0*2,5 - dlažba</t>
  </si>
  <si>
    <t>"čp.891 - hromadná dešť+splašk." (0,15+0,3)*1,0*3,5 - asfalt</t>
  </si>
  <si>
    <t>"čp.909 - splašk." (0,15+0,3)*1,0*3,5 - asfalt</t>
  </si>
  <si>
    <t>"čp.891 - hromadná dešť+splašk." (0,15+0,3)*1,0*(3,5+1,0) - dlažba</t>
  </si>
  <si>
    <t>"čp.909 - splašk." (0,15+0,3)*1,0*2,5 - dlažba</t>
  </si>
  <si>
    <t>"čp.909 - samostatný dešť svod." (0,15+0,3)*1,0*3,5 - asfalt</t>
  </si>
  <si>
    <t>"čp.909 - samostatný dešť svod." (0,15+0,3)*1,0*2,5 - dlažba</t>
  </si>
  <si>
    <t>"čp.935 - hromadná dešť+splašk." (0,15+0,3)*1,0*3,5 - asfalt</t>
  </si>
  <si>
    <t>"čp.935 - hromadná dešť+splašk." (0,15+0,3)*1,0*(3,5+1,0) - dlažba</t>
  </si>
  <si>
    <t>"čp.929 - hromadná dešť+splašk." (0,15+0,3)*1,0*3,5 - asfalt</t>
  </si>
  <si>
    <t>"čp.929 - hromadná dešť+splašk." (0,15+0,3)*1,0*(3,5+1,0) - dlažba</t>
  </si>
  <si>
    <t>"čp.942 - samostatný dešť.svod" (0,15+0,3)*1,0*3,5 - asfalt</t>
  </si>
  <si>
    <t>"čp.942 - samostatný dešť svod." (0,15+0,3)*1,0*2,5 - dlažba</t>
  </si>
  <si>
    <t>"čp.840" (1,5-0,1)*1,0*2,5 - dlažba</t>
  </si>
  <si>
    <t>"čp.846" (1,5-0,1)*1,0*2,5 - dlažba</t>
  </si>
  <si>
    <t>"čp.854" (1,5-0,1)*1,0*2,5 - dlažba</t>
  </si>
  <si>
    <t>"čp.855" (1,5-0,1)*1,0*2,5 - dlažba</t>
  </si>
  <si>
    <t>"čp.856" (1,5-0,1)*1,0*2,5 - dlažba</t>
  </si>
  <si>
    <t>"čp.857" (1,5-0,1)*1,0*2,5 - dlažba</t>
  </si>
  <si>
    <t>"čp.858" (1,5-0,1)*1,0*2,5 - dlažba</t>
  </si>
  <si>
    <t>"čp.859" (1,5-0,1)*1,0*2,5 - dlažba</t>
  </si>
  <si>
    <t>"čp.896" (1,5-0,1)*1,0*2,5 - dlažba</t>
  </si>
  <si>
    <t>"čp.914" (1,5-0,1)*1,0*2,5 - dlažba</t>
  </si>
  <si>
    <t>"čp.913" (1,5-0,1)*1,0*2,5 - dlažba</t>
  </si>
  <si>
    <t>"čp.893" (1,5-0,1)*1,0*2,5 - dlažba</t>
  </si>
  <si>
    <t>"čp.892" (1,5-0,1)*1,0*2,5 - dlažba</t>
  </si>
  <si>
    <t>"čp.891" (1,5-0,1)*1,0*2,5 - dlažba</t>
  </si>
  <si>
    <t>"čp.909" (1,5-0,1)*1,0*2,5 - dlažba</t>
  </si>
  <si>
    <t>"čp.935" (1,5-0,1)*1,0*2,5 - dlažba</t>
  </si>
  <si>
    <t>"čp.929" (1,5-0,1)*1,0*2,5 - dlažba</t>
  </si>
  <si>
    <t>287,725*0,5</t>
  </si>
  <si>
    <t>"chodníky-kanalizační přípojky, hromadné počítáno navíc ještě dešť.svody " 5,0*1,0*(2,5*0,0+2,5)+6,0*1,0*(2,5*0,0+3,5+1,0)+8,0*1,0*(2,5*0,0+3,5)+6,0*1,0*(3,5*0,0+3,5+1,0)+1,0*1,0*(2,5*0,0+3,5)</t>
  </si>
  <si>
    <t>214,29*0,25</t>
  </si>
  <si>
    <t>"obsyp" 214,29*1,9</t>
  </si>
  <si>
    <t>"koncové šachty" 2,0*(0,1+0,1)*2,0*2,0*0</t>
  </si>
  <si>
    <t>"navíc plastová šachta uprostřed trasy" 1,0*(0,1+0,1)*1,0*1,0</t>
  </si>
  <si>
    <t>"kanalizační řad v asfaltu" (0,1+0,1)*1,1*(116,0-6,0)</t>
  </si>
  <si>
    <t>"čp.837 - samostatný dešť svod." (0,1+0,1)*1,0*2,5 - asfalt</t>
  </si>
  <si>
    <t>"čp.837 - samostatný dešť svod." (0,1+0,1)*1,0*2,5 - dlažba</t>
  </si>
  <si>
    <t>"čp.840 - samostatný dešť svod." (0,1+0,1)*1,0*2,5 - asfalt</t>
  </si>
  <si>
    <t>"čp.840 - samostatný dešť svod." (0,1+0,1)*1,0*2,5 - dlažba</t>
  </si>
  <si>
    <t>"čp.846 - hromadná dešť+splašk." (0,1+0,1)*1,0*2,5 - asfalt</t>
  </si>
  <si>
    <t>"čp.846 - hromadná dešť+splašk." (0,1+0,1)*1,0*(3,5+1,0) - dlažba</t>
  </si>
  <si>
    <t>"čp.854 - hromadná dešť+splašk." (0,1+0,1)*1,0*2,5 - asfalt</t>
  </si>
  <si>
    <t>"čp.854 - hromadná dešť+splašk." (0,1+0,1)*1,0*(3,5+1,0) - dlažba</t>
  </si>
  <si>
    <t>"čp.855 - samostatný dešť svod." (0,1+0,1)*1,0*2,5 - asfalt</t>
  </si>
  <si>
    <t>"čp.855 - samostatný dešť svod." (0,1+0,1)*1,0*2,5 - dlažba</t>
  </si>
  <si>
    <t>"čp.855 - splašk.." (0,1+0,1)*1,0*2,5 - asfalt</t>
  </si>
  <si>
    <t>"čp.855 - splašk." (0,1+0,1)*1,0*3,5 - dlažba</t>
  </si>
  <si>
    <t>"čp.856 - hromadná dešť+splašk." (0,1+0,1)*1,0*2,5 - asfalt</t>
  </si>
  <si>
    <t>"čp.856 - hromadná dešť+splašk." (0,1+0,1)*1,0*(3,5+1,0) - dlažba</t>
  </si>
  <si>
    <t>"čp.856 - samostatný dešť svod." (0,1+0,1)*1,0*2,5 - asfalt</t>
  </si>
  <si>
    <t>"čp.856 - samostatný dešť svod." (0,1+0,1)*1,0*2,5 - dlažba</t>
  </si>
  <si>
    <t>"čp.857 - hromadná dešť+splašk." (0,1+0,1)*1,0*2,5 - asfalt</t>
  </si>
  <si>
    <t>"čp.857 - hromadná dešť+splašk." (0,1+0,1)*1,0*(3,5+1,0) - dlažba</t>
  </si>
  <si>
    <t>"čp.858 - hromadná dešť+splašk." (0,1+0,1)*1,0*2,5 - asfalt</t>
  </si>
  <si>
    <t>"čp.858 - hromadná dešť+splašk." (0,1+0,1)*1,0*(3,5+1,0) - dlažba</t>
  </si>
  <si>
    <t>"čp.859 - hromadná dešť+splašk." (0,1+0,1)*1,0*2,5 - asfalt</t>
  </si>
  <si>
    <t>"čp.859 - hromadná dešť+splašk." (0,1+0,1)*1,0*(3,5+1,0) - dlažba</t>
  </si>
  <si>
    <t>"čp.859 - samostatný dešť svod." (0,1+0,1)*1,0*2,5  -asfalt</t>
  </si>
  <si>
    <t>"čp.859 - samostatný dešť svod." (0,1+0,1)*1,0*2,5 - dlažba</t>
  </si>
  <si>
    <t>"čp.896 - samostatný dešť svod." (0,1+0,1)*1,0*3,5 - asfalt</t>
  </si>
  <si>
    <t>"čp.896 - samostatný dešť svod." (0,1+0,1)*1,0*2,5 - dlažba</t>
  </si>
  <si>
    <t>"čp.914 - hromadná dešť+splašk." (0,1+0,1)*1,0*3,5 - asfalt</t>
  </si>
  <si>
    <t>"čp.914 - hromadná dešť+splašk." (0,1+0,1)*1,0*(3,5+1,0) - dlažba</t>
  </si>
  <si>
    <t>"čp.913 - samostatný dešť svod." (0,1+0,1)*1,0*3,5 - asfalt</t>
  </si>
  <si>
    <t>"čp.913 - samostatný dešť svod." (0,1+0,1)*1,0*2,5 - dlažba</t>
  </si>
  <si>
    <t>"čp.913 - splašk." (0,1+0,1)*1,0*3,5 - asfalt</t>
  </si>
  <si>
    <t>"čp.913 - splašk." (0,1+0,1)*1,0*2,5 - dlažba</t>
  </si>
  <si>
    <t>"čp.893 - hromadná dešť+splašk." (0,1+0,1)*1,0*3,5 - asfalt</t>
  </si>
  <si>
    <t>"čp.893 - hromadná dešť+splašk." (0,1+0,1)*1,0*(3,5+1,0) - dlažba</t>
  </si>
  <si>
    <t>"čp.893 - samostatný dešť svod." (0,1+0,1)*1,0*3,5 - asfalt</t>
  </si>
  <si>
    <t>"čp.893 - samostatný dešť svod." (0,1+0,1)*1,0*2,5 - dlažba</t>
  </si>
  <si>
    <t>"čp.892 - hromadná dešť+splašk." (0,1+0,1)*1,0*3,5 - asfalt</t>
  </si>
  <si>
    <t>"čp.892 - hromadná dešť+splašk." (0,1+0,1)*1,0*(3,5+1,0) - dlažba</t>
  </si>
  <si>
    <t>"čp.892 - samostatný dešť svod." (0,1+0,1)*1,0*3,5 - asfalt</t>
  </si>
  <si>
    <t>"čp.892 - samostatný dešť svod." (0,1+0,1)*1,0*2,5 - dlažba</t>
  </si>
  <si>
    <t>"čp.891 - hromadná dešť+splašk." (0,1+0,1)*1,0*3,5 - asfalt</t>
  </si>
  <si>
    <t>"čp.891 - hromadná dešť+splašk." (0,1+0,1)*1,0*(3,5+1,0) - dlažba</t>
  </si>
  <si>
    <t>"čp.909 - splašk." (0,1+0,1)*1,0*3,5 - asfalt</t>
  </si>
  <si>
    <t>"čp.909 - splašk." (0,1+0,1)*1,0*2,5 - dlažba</t>
  </si>
  <si>
    <t>"čp.909 - samostatný dešť svod." (0,1+0,1)*1,0*3,5 - asfalt</t>
  </si>
  <si>
    <t>"čp.909 - samostatný dešť svod." (0,1+0,1)*1,0*2,5 - dlažba</t>
  </si>
  <si>
    <t>"čp.935 - hromadná dešť+splašk." (0,1+0,1)*1,0*3,5 - asfalt</t>
  </si>
  <si>
    <t>"čp.935 - hromadná dešť+splašk." (0,1+0,1)*1,0*(3,5+1,0) - dlažba</t>
  </si>
  <si>
    <t>"čp.929 - hromadná dešť+splašk." (0,1+0,1)*1,0*3,5 - asfalt</t>
  </si>
  <si>
    <t>"čp.929 - hromadná dešť+splašk." (0,1+0,1)*1,0*(3,5+1,0) - dlažba</t>
  </si>
  <si>
    <t>"čp.942 - samostatný dešť.svod" (0,1+0,1)*1,0*3,5 - asfalt</t>
  </si>
  <si>
    <t>"čp.942 - samostatný dešť svod." (0,1+0,1)*1,0*2,5 - dlažba</t>
  </si>
  <si>
    <t>"vodovodní řad" (0,1+0,0)*0,7*(116,0-6,0)</t>
  </si>
  <si>
    <t>"čp.840" (0,1+0,1)*1,0*2,5 - asfalt</t>
  </si>
  <si>
    <t>"čp.840" (0,1+0,1)*1,0*2,5 - dlažba</t>
  </si>
  <si>
    <t>"čp.846" (0,1+0,1)*1,0*2,5 - asfalt</t>
  </si>
  <si>
    <t>"čp.846" (0,1+0,1)*1,0*2,5 - dlažba</t>
  </si>
  <si>
    <t>"čp.854" (0,1+0,1)*1,0*2,5 - asfalt</t>
  </si>
  <si>
    <t>"čp.854" (0,1+0,1)*1,0*2,5 - dlažba</t>
  </si>
  <si>
    <t>"čp.855" (0,1+0,1)*1,0*2,5 - asfalt</t>
  </si>
  <si>
    <t>"čp.855" (0,1+0,1)*1,0*2,5 - dlažba</t>
  </si>
  <si>
    <t>"čp.856" (0,1+0,1)*1,0*2,5 - asfalt</t>
  </si>
  <si>
    <t>"čp.856" (0,1+0,1)*1,0*2,5 - dlažba</t>
  </si>
  <si>
    <t>"čp.857" (0,1+0,1)*1,0*2,5 - asfalt</t>
  </si>
  <si>
    <t>"čp.857" (0,1+0,1)*1,0*2,5 - dlažba</t>
  </si>
  <si>
    <t>"čp.858" (0,1+0,1)*1,0*2,5 - asfalt</t>
  </si>
  <si>
    <t>"čp.858" (0,1+0,1)*1,0*2,5 - dlažba</t>
  </si>
  <si>
    <t>"čp.859" (0,1+0,1)*1,0*2,5 - asfalt</t>
  </si>
  <si>
    <t>"čp.859" (0,1+0,1)*1,0*2,5 - dlažba</t>
  </si>
  <si>
    <t>"čp.896" (0,1+0,1)*1,0*3,5 - asfalt</t>
  </si>
  <si>
    <t>"čp.896" (0,1+0,1)*1,0*2,5 - dlažba</t>
  </si>
  <si>
    <t>"čp.914" (0,1+0,1)*1,0*3,5 - asfalt</t>
  </si>
  <si>
    <t>"čp.914" (0,1+0,1)*1,0*2,5 - dlažba</t>
  </si>
  <si>
    <t>"čp.913" (0,1+0,1)*1,0*3,5 - asfalt</t>
  </si>
  <si>
    <t>"čp.913" (0,1+0,1)*1,0*2,5 - dlažba</t>
  </si>
  <si>
    <t>"čp.893" (0,1+0,1)*1,0*3,5 - asfalt</t>
  </si>
  <si>
    <t>"čp.893" (0,1+0,1)*1,0*2,5 - dlažba</t>
  </si>
  <si>
    <t>"čp.892" (0,1+0,1)*1,0*3,5 - asfalt</t>
  </si>
  <si>
    <t>"čp.892" (0,1+0,1)*1,0*2,5 - dlažba</t>
  </si>
  <si>
    <t>"čp.891" (0,1+0,1)*1,0*3,5 - asfalt</t>
  </si>
  <si>
    <t>"čp.891" (0,1+0,1)*1,0*2,5 - dlažba</t>
  </si>
  <si>
    <t>"čp.909" (0,1+0,1)*1,0*3,5 - asfalt</t>
  </si>
  <si>
    <t>"čp.909" (0,1+0,1)*1,0*2,5 - dlažba</t>
  </si>
  <si>
    <t>"čp.935" (0,1+0,1)*1,0*3,5 - asfalt</t>
  </si>
  <si>
    <t>"čp.935" (0,1+0,1)*1,0*2,5 - dlažba</t>
  </si>
  <si>
    <t>"čp.929" (0,1+0,1)*1,0*3,5 - asfalt</t>
  </si>
  <si>
    <t>"čp.929" (0,1+0,1)*1,0*2,5 - dlažba</t>
  </si>
  <si>
    <t>"přepočet na tonáž" 262,61*1,9</t>
  </si>
  <si>
    <t>"vodovodní přípojky" 8,0*(2,5+2,5)+9,0*(3,5+2,5)</t>
  </si>
  <si>
    <t>každých 6m potrubí spojka: 110/6 = 18,333, zaokrouhleno 19 kusů</t>
  </si>
  <si>
    <t>"kolena Ruská"</t>
  </si>
  <si>
    <t>"spojka s přírubou u šoupětě Ruská ul' 2 ks</t>
  </si>
  <si>
    <t>"u šoupěte Ruská ul." 1 ks</t>
  </si>
  <si>
    <t>"pro přípojky" 17 kusů</t>
  </si>
  <si>
    <t>"Ruská ulice u šoupat" 1 ks</t>
  </si>
  <si>
    <t>"vpusť" 2,0*6,0</t>
  </si>
  <si>
    <t>"přípojky a vpusť" 181,0/6</t>
  </si>
  <si>
    <t>Šachty kanalizační plastové na potrubí DN 250 nebo 400</t>
  </si>
  <si>
    <t>Plastové dno šachty vícevtokové DN 600/400 PP, 2xvýtok DN400</t>
  </si>
  <si>
    <t>"kanalizační řad v asfaltu" 2,0*(116,0-6,0)</t>
  </si>
  <si>
    <t>"čp.837 - samostatný dešť svod." 2,0*2,5</t>
  </si>
  <si>
    <t>"čp.840 - hromadná dešť+splašk." 2,0*2,5</t>
  </si>
  <si>
    <t>"čp.840 - samostatný dešť svod." 2,0*2,5</t>
  </si>
  <si>
    <t>"čp.846 - hromadná dešť+splašk." 2,0*2,5</t>
  </si>
  <si>
    <t>"čp.854 - hromadná dešť+splašk." 2,0*2,5</t>
  </si>
  <si>
    <t>"čp.855 - samostatný dešť svod." 2,0*2,5</t>
  </si>
  <si>
    <t>"čp.855 - splašk.." 2,0*2,5</t>
  </si>
  <si>
    <t>"čp.856 - hromadná dešť+splašk." 2,0*2,5</t>
  </si>
  <si>
    <t>"čp.856 - samostatný dešť svod." 2,0*2,5</t>
  </si>
  <si>
    <t>"čp.857 - hromadná dešť+splašk." 2,0*2,5</t>
  </si>
  <si>
    <t>"čp.858 - hromadná dešť+splašk." 2,0*2,5</t>
  </si>
  <si>
    <t>"čp.859 - hromadná dešť+splašk." 2,0*2,5</t>
  </si>
  <si>
    <t>"čp.859 - samostatný dešť svod." 2,0*2,5</t>
  </si>
  <si>
    <t>"čp.896 - samostatný dešť svod." 2,0*3,5</t>
  </si>
  <si>
    <t>"čp.914 - hromadná dešť+splašk." 2,0*3,5</t>
  </si>
  <si>
    <t>"čp.913 - samostatný dešť svod." 2,0*3,5</t>
  </si>
  <si>
    <t>"čp.913 - splašk." 2,0*3,5</t>
  </si>
  <si>
    <t>"čp.893 - hromadná dešť+splašk." 2,0*3,5</t>
  </si>
  <si>
    <t>"čp.893 - samostatný dešť svod." 2,0*3,5</t>
  </si>
  <si>
    <t>"čp.892 - hromadná dešť+splašk." 2,0*3,5</t>
  </si>
  <si>
    <t>"čp.892 - samostatný dešť svod." 2,0*3,5</t>
  </si>
  <si>
    <t>"čp.891 - hromadná dešť+splašk."2,0*3,5</t>
  </si>
  <si>
    <t>"čp.909 - splašk." 2,0*3,5</t>
  </si>
  <si>
    <t>"čp.909 - samostatný dešť svod." 2,0*3,5</t>
  </si>
  <si>
    <t>"čp.935 - hromadná dešť+splašk." 2,0*3,5</t>
  </si>
  <si>
    <t>"čp.929 - hromadná dešť+splašk." 2,0*3,5</t>
  </si>
  <si>
    <t>"čp.942 - samostatný dešť.svod" 2,0*3,5</t>
  </si>
  <si>
    <t>"uliční vpusti u ul.Pod Velkým vrchem" 2,0*2,0*6,0</t>
  </si>
  <si>
    <t>"vodovodní řad" 2,0*(116,0-6,0)</t>
  </si>
  <si>
    <t>Mezisoučet kanalizační řad - předpoklad 1/2 pro jednotný výkop V+K</t>
  </si>
  <si>
    <t>Mezisoučet vodovodní řad - 1/2 pro jednotný výkop V+K</t>
  </si>
  <si>
    <t>"čp.840" 2,0*2,5</t>
  </si>
  <si>
    <t>"čp.846" 2,0*2,5</t>
  </si>
  <si>
    <t>"čp.854" 2,0*2,5</t>
  </si>
  <si>
    <t>"čp.855" 2,0*2,5</t>
  </si>
  <si>
    <t>"čp.856" 2,0*2,5</t>
  </si>
  <si>
    <t>"čp.857" 2,0*2,5</t>
  </si>
  <si>
    <t>"čp.858" 2,0*2,5</t>
  </si>
  <si>
    <t>"čp.859" 2,0*2,5</t>
  </si>
  <si>
    <t>"čp.914" 2,0*3,5</t>
  </si>
  <si>
    <t>"čp.913" 2,0*3,5</t>
  </si>
  <si>
    <t>"čp.893" 2,0*3,5</t>
  </si>
  <si>
    <t>"čp.892" 2,0*3,5</t>
  </si>
  <si>
    <t>"čp.891" 2,0*3,5</t>
  </si>
  <si>
    <t>"čp.909" 2,0*3,5</t>
  </si>
  <si>
    <t>"čp.935" 2,0*3,5</t>
  </si>
  <si>
    <t>"čp.929" 2,0*3,5</t>
  </si>
  <si>
    <t>"koncové šachty" 2,0*4,0*2,0</t>
  </si>
  <si>
    <t>"navíc plastová šachta uprostřed trasy" 2,0*1,0</t>
  </si>
  <si>
    <t>210,54*14</t>
  </si>
  <si>
    <t>76,67*14,0</t>
  </si>
  <si>
    <t>Geodetické práce - vytyčení před stavbou, v průběhu stavby, zaměření skutečného stavu po provedení stavby, geometrický plán</t>
  </si>
  <si>
    <t>286159750</t>
  </si>
  <si>
    <t>elektrospojka SDR 11, PE 100, PN 16 d 110</t>
  </si>
  <si>
    <t>230180028R00</t>
  </si>
  <si>
    <t xml:space="preserve">Kanalizační potrubí PVC SN 4 DN 100/500 </t>
  </si>
  <si>
    <t>877313123R00</t>
  </si>
  <si>
    <t>Montáž odboček na potrubí z PP trub hladkých plnostěnných DN 150</t>
  </si>
  <si>
    <t>28654565R</t>
  </si>
  <si>
    <t>877313123R00_1</t>
  </si>
  <si>
    <t>Montáž kolen na potrubí z PP trub hladkých plnostěnných DN 100</t>
  </si>
  <si>
    <t>721242110RT1</t>
  </si>
  <si>
    <t>Lapač střešních splavenin z PP se zápachovou klapkou a lapacím košem DN 110 - D+M</t>
  </si>
  <si>
    <t xml:space="preserve">"pro uliční vpusť" </t>
  </si>
  <si>
    <t xml:space="preserve">"pro uliční vpusť - 1 ks/přípojku" </t>
  </si>
  <si>
    <t>"kanalizační přípojky - samostaný dešťový svod" 11,0*1,5</t>
  </si>
  <si>
    <t>"kanalizační přípojky - samostaný dešťový svod" 11,0 ks</t>
  </si>
  <si>
    <t>"kanalizační přípojky samostatná splašk." 3,0ks</t>
  </si>
  <si>
    <t>"kanalizační přípojky - hromadné dešť a splašk." 12,0ks</t>
  </si>
  <si>
    <t>"kanalizační přípojky - hromadné dešť a splašk." 12,0*1,5</t>
  </si>
  <si>
    <t>"kanalizační přípojky - hromadné dešť a splašk." 12,0 ks</t>
  </si>
  <si>
    <t xml:space="preserve">Kanalizační tvarovka - koleno 87°PVC SN 4 DN100 </t>
  </si>
  <si>
    <t xml:space="preserve">"pro uliční vpusť - 1 ks/přípojku, 2 ks přípojek" </t>
  </si>
  <si>
    <t>Montáž kanalizačního potrubí hladkého plnostěnného SN 8 z polypropylenu DN 100</t>
  </si>
  <si>
    <t>Navrtávací pas uzávěrový HAWLE HAKU D 110/2"</t>
  </si>
  <si>
    <t>Montáž navrtávacích pasů na potrubí z jakýchkoli trub DN 100</t>
  </si>
  <si>
    <t>Kanalizační odbočka PP Master SN 12 45° DN 150/150</t>
  </si>
  <si>
    <t>Kanalizační tvarovka - redukce PVC SN 8 DN 150/100</t>
  </si>
  <si>
    <t xml:space="preserve">"obetonování šachta Ruská, plastová ne" </t>
  </si>
  <si>
    <t>Nouzové zajištění pitnou vodou, odstávka dodávek vody</t>
  </si>
  <si>
    <t>Hutnící zkoušky</t>
  </si>
  <si>
    <t>099801000</t>
  </si>
  <si>
    <t>štěrkodrť frakce 0-32 (PDK 0-32)</t>
  </si>
  <si>
    <t>ODPOČET POTRUBÍ KANALIZAČNÍ PŘÍPOJKY -3,14*0,15*0,15/4,0*(181,0-2,0*6,0)</t>
  </si>
  <si>
    <t>583441690</t>
  </si>
  <si>
    <t xml:space="preserve">"komunikace" </t>
  </si>
  <si>
    <t>567114112</t>
  </si>
  <si>
    <t>Podklad z podkladového betonu PB tř.PB II (C16/20) tl.100mm</t>
  </si>
  <si>
    <t>Demontáž potrubí z trub litinových DN 110</t>
  </si>
  <si>
    <t>891269111</t>
  </si>
  <si>
    <t>531011000216T</t>
  </si>
  <si>
    <t>877310310</t>
  </si>
  <si>
    <t>R009</t>
  </si>
  <si>
    <t>R010</t>
  </si>
  <si>
    <t>R011</t>
  </si>
  <si>
    <t>R012</t>
  </si>
  <si>
    <t>R013</t>
  </si>
  <si>
    <t>R014</t>
  </si>
  <si>
    <t>VÝMĚNA VODOVODU A KANALIZACE V ULICI MORAVSKÉ</t>
  </si>
  <si>
    <t>VÝMĚNA VODOVODU A KANALIZACE V ULICI MORAVSKÉ - VEDLEJŠÍ ROZPOČTOVÉ NÁKLADY</t>
  </si>
  <si>
    <t>VÝMĚNA VODOVODU A KANALIZACE V ULICI MORAVSKÉ - REKAPITULACE</t>
  </si>
  <si>
    <t>Celkem Výměna vodovodu a kanalizace v ulici Moravské bez DPH</t>
  </si>
  <si>
    <t>Celkem Výměna vodovodu a kanalizace v ulici Moravské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</si>
</sst>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\ &quot;Kč&quot;"/>
    <numFmt numFmtId="166" formatCode="#,##0.00000"/>
  </numFmts>
  <fonts count="25" x14ac:knownFonts="1">
    <font>
      <sz val="8"/>
      <name val="Trebuchet MS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color rgb="FF505050"/>
      <name val="Arial"/>
      <family val="2"/>
      <charset val="238"/>
    </font>
    <font>
      <sz val="7"/>
      <color rgb="FF969696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0000FF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505050"/>
      <name val="Arial"/>
      <family val="2"/>
      <charset val="238"/>
    </font>
    <font>
      <b/>
      <sz val="7"/>
      <color rgb="FF969696"/>
      <name val="Arial"/>
      <family val="2"/>
      <charset val="238"/>
    </font>
    <font>
      <b/>
      <i/>
      <sz val="8"/>
      <color rgb="FF0000FF"/>
      <name val="Arial"/>
      <family val="2"/>
      <charset val="238"/>
    </font>
    <font>
      <b/>
      <sz val="8"/>
      <name val="Trebuchet MS"/>
      <family val="2"/>
    </font>
    <font>
      <i/>
      <sz val="8"/>
      <color rgb="FF505050"/>
      <name val="Arial"/>
      <family val="2"/>
      <charset val="238"/>
    </font>
    <font>
      <i/>
      <sz val="7"/>
      <color rgb="FF969696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Trebuchet MS"/>
      <family val="2"/>
      <charset val="238"/>
    </font>
    <font>
      <b/>
      <i/>
      <sz val="8"/>
      <color rgb="FF505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65" fontId="0" fillId="2" borderId="0" xfId="0" applyNumberFormat="1" applyFill="1" applyProtection="1">
      <protection locked="0"/>
    </xf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164" fontId="1" fillId="0" borderId="13" xfId="0" applyNumberFormat="1" applyFont="1" applyBorder="1" applyAlignment="1" applyProtection="1">
      <alignment horizontal="right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165" fontId="1" fillId="2" borderId="6" xfId="0" applyNumberFormat="1" applyFont="1" applyFill="1" applyBorder="1" applyAlignment="1" applyProtection="1">
      <alignment vertical="center"/>
      <protection locked="0"/>
    </xf>
    <xf numFmtId="165" fontId="1" fillId="2" borderId="7" xfId="0" applyNumberFormat="1" applyFont="1" applyFill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165" fontId="4" fillId="2" borderId="6" xfId="0" applyNumberFormat="1" applyFont="1" applyFill="1" applyBorder="1" applyAlignment="1" applyProtection="1">
      <alignment vertical="center"/>
      <protection locked="0"/>
    </xf>
    <xf numFmtId="165" fontId="4" fillId="2" borderId="7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164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165" fontId="6" fillId="2" borderId="6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164" fontId="7" fillId="0" borderId="13" xfId="0" applyNumberFormat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165" fontId="7" fillId="2" borderId="6" xfId="0" applyNumberFormat="1" applyFont="1" applyFill="1" applyBorder="1" applyAlignment="1" applyProtection="1">
      <alignment vertical="center"/>
      <protection locked="0"/>
    </xf>
    <xf numFmtId="165" fontId="7" fillId="2" borderId="7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left" vertical="center"/>
    </xf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165" fontId="8" fillId="2" borderId="1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5" fontId="8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0" borderId="8" xfId="0" applyFont="1" applyBorder="1" applyAlignment="1"/>
    <xf numFmtId="0" fontId="1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2" fillId="0" borderId="9" xfId="0" applyFont="1" applyBorder="1" applyAlignment="1">
      <alignment horizontal="right"/>
    </xf>
    <xf numFmtId="165" fontId="12" fillId="2" borderId="9" xfId="0" applyNumberFormat="1" applyFont="1" applyFill="1" applyBorder="1" applyAlignment="1" applyProtection="1">
      <protection locked="0"/>
    </xf>
    <xf numFmtId="165" fontId="12" fillId="2" borderId="10" xfId="0" applyNumberFormat="1" applyFont="1" applyFill="1" applyBorder="1" applyAlignment="1" applyProtection="1">
      <protection locked="0"/>
    </xf>
    <xf numFmtId="0" fontId="12" fillId="0" borderId="0" xfId="0" applyFont="1" applyAlignment="1"/>
    <xf numFmtId="0" fontId="9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164" fontId="1" fillId="0" borderId="13" xfId="0" applyNumberFormat="1" applyFont="1" applyBorder="1" applyAlignment="1" applyProtection="1">
      <alignment vertical="center"/>
      <protection locked="0"/>
    </xf>
    <xf numFmtId="0" fontId="11" fillId="0" borderId="8" xfId="0" applyFont="1" applyBorder="1" applyAlignment="1"/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right"/>
    </xf>
    <xf numFmtId="165" fontId="11" fillId="2" borderId="9" xfId="0" applyNumberFormat="1" applyFont="1" applyFill="1" applyBorder="1" applyAlignment="1" applyProtection="1">
      <protection locked="0"/>
    </xf>
    <xf numFmtId="165" fontId="11" fillId="2" borderId="10" xfId="0" applyNumberFormat="1" applyFont="1" applyFill="1" applyBorder="1" applyAlignment="1" applyProtection="1">
      <protection locked="0"/>
    </xf>
    <xf numFmtId="0" fontId="11" fillId="0" borderId="0" xfId="0" applyFont="1" applyAlignment="1"/>
    <xf numFmtId="164" fontId="4" fillId="0" borderId="13" xfId="0" applyNumberFormat="1" applyFont="1" applyBorder="1" applyAlignment="1">
      <alignment vertical="center"/>
    </xf>
    <xf numFmtId="164" fontId="7" fillId="0" borderId="13" xfId="0" applyNumberFormat="1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165" fontId="8" fillId="0" borderId="1" xfId="0" applyNumberFormat="1" applyFont="1" applyBorder="1" applyAlignment="1">
      <alignment horizontal="right"/>
    </xf>
    <xf numFmtId="0" fontId="11" fillId="0" borderId="22" xfId="0" applyFont="1" applyBorder="1" applyAlignment="1">
      <alignment horizontal="left"/>
    </xf>
    <xf numFmtId="165" fontId="11" fillId="2" borderId="22" xfId="0" applyNumberFormat="1" applyFont="1" applyFill="1" applyBorder="1" applyAlignment="1" applyProtection="1">
      <protection locked="0"/>
    </xf>
    <xf numFmtId="0" fontId="11" fillId="0" borderId="20" xfId="0" applyFont="1" applyBorder="1" applyAlignment="1"/>
    <xf numFmtId="0" fontId="11" fillId="0" borderId="16" xfId="0" applyFont="1" applyBorder="1" applyAlignment="1">
      <alignment horizontal="left"/>
    </xf>
    <xf numFmtId="165" fontId="11" fillId="2" borderId="16" xfId="0" applyNumberFormat="1" applyFont="1" applyFill="1" applyBorder="1" applyAlignment="1" applyProtection="1">
      <protection locked="0"/>
    </xf>
    <xf numFmtId="0" fontId="11" fillId="0" borderId="22" xfId="0" applyFont="1" applyBorder="1" applyAlignment="1">
      <alignment horizontal="right"/>
    </xf>
    <xf numFmtId="0" fontId="11" fillId="0" borderId="15" xfId="0" applyFont="1" applyBorder="1" applyAlignment="1"/>
    <xf numFmtId="0" fontId="11" fillId="0" borderId="16" xfId="0" applyFont="1" applyBorder="1" applyAlignment="1">
      <alignment horizontal="right"/>
    </xf>
    <xf numFmtId="165" fontId="11" fillId="2" borderId="21" xfId="0" applyNumberFormat="1" applyFont="1" applyFill="1" applyBorder="1" applyAlignment="1" applyProtection="1">
      <protection locked="0"/>
    </xf>
    <xf numFmtId="165" fontId="11" fillId="2" borderId="17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165" fontId="14" fillId="2" borderId="6" xfId="0" applyNumberFormat="1" applyFont="1" applyFill="1" applyBorder="1" applyAlignment="1" applyProtection="1">
      <alignment vertical="center"/>
      <protection locked="0"/>
    </xf>
    <xf numFmtId="164" fontId="6" fillId="0" borderId="6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64" fontId="12" fillId="0" borderId="13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left" vertical="center"/>
    </xf>
    <xf numFmtId="165" fontId="12" fillId="2" borderId="6" xfId="0" applyNumberFormat="1" applyFont="1" applyFill="1" applyBorder="1" applyAlignment="1" applyProtection="1">
      <alignment vertical="center"/>
      <protection locked="0"/>
    </xf>
    <xf numFmtId="0" fontId="15" fillId="0" borderId="5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164" fontId="15" fillId="0" borderId="13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left" vertical="center"/>
    </xf>
    <xf numFmtId="165" fontId="15" fillId="2" borderId="6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7" fillId="0" borderId="6" xfId="0" applyFont="1" applyBorder="1" applyAlignment="1" applyProtection="1">
      <alignment horizontal="left" vertical="center" wrapText="1"/>
      <protection locked="0"/>
    </xf>
    <xf numFmtId="164" fontId="17" fillId="0" borderId="13" xfId="0" applyNumberFormat="1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left" vertical="center" wrapText="1"/>
      <protection locked="0"/>
    </xf>
    <xf numFmtId="165" fontId="17" fillId="2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Border="1"/>
    <xf numFmtId="0" fontId="19" fillId="0" borderId="5" xfId="0" applyFont="1" applyBorder="1" applyAlignment="1">
      <alignment vertical="center"/>
    </xf>
    <xf numFmtId="0" fontId="20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horizontal="left" vertical="center"/>
    </xf>
    <xf numFmtId="165" fontId="19" fillId="2" borderId="6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6" fontId="8" fillId="0" borderId="0" xfId="0" applyNumberFormat="1" applyFont="1"/>
    <xf numFmtId="166" fontId="8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23" fillId="0" borderId="18" xfId="0" applyNumberFormat="1" applyFont="1" applyBorder="1" applyAlignment="1">
      <alignment horizontal="center" vertical="center" wrapText="1"/>
    </xf>
    <xf numFmtId="166" fontId="23" fillId="0" borderId="25" xfId="0" applyNumberFormat="1" applyFont="1" applyBorder="1" applyAlignment="1">
      <alignment horizontal="center" vertical="center" wrapText="1"/>
    </xf>
    <xf numFmtId="166" fontId="23" fillId="0" borderId="19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/>
    <xf numFmtId="166" fontId="11" fillId="0" borderId="11" xfId="0" applyNumberFormat="1" applyFont="1" applyBorder="1" applyAlignment="1"/>
    <xf numFmtId="166" fontId="11" fillId="0" borderId="4" xfId="0" applyNumberFormat="1" applyFont="1" applyBorder="1" applyAlignment="1"/>
    <xf numFmtId="166" fontId="11" fillId="0" borderId="5" xfId="0" applyNumberFormat="1" applyFont="1" applyBorder="1" applyAlignment="1"/>
    <xf numFmtId="166" fontId="11" fillId="0" borderId="13" xfId="0" applyNumberFormat="1" applyFont="1" applyBorder="1" applyAlignment="1"/>
    <xf numFmtId="166" fontId="11" fillId="0" borderId="7" xfId="0" applyNumberFormat="1" applyFont="1" applyBorder="1" applyAlignment="1"/>
    <xf numFmtId="166" fontId="1" fillId="0" borderId="5" xfId="0" applyNumberFormat="1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166" fontId="14" fillId="0" borderId="7" xfId="0" applyNumberFormat="1" applyFont="1" applyBorder="1" applyAlignment="1">
      <alignment vertical="center"/>
    </xf>
    <xf numFmtId="166" fontId="15" fillId="0" borderId="5" xfId="0" applyNumberFormat="1" applyFont="1" applyBorder="1" applyAlignment="1">
      <alignment vertical="center"/>
    </xf>
    <xf numFmtId="166" fontId="12" fillId="0" borderId="13" xfId="0" applyNumberFormat="1" applyFont="1" applyBorder="1" applyAlignment="1">
      <alignment vertical="center"/>
    </xf>
    <xf numFmtId="166" fontId="12" fillId="0" borderId="7" xfId="0" applyNumberFormat="1" applyFont="1" applyBorder="1" applyAlignment="1">
      <alignment vertical="center"/>
    </xf>
    <xf numFmtId="166" fontId="19" fillId="0" borderId="5" xfId="0" applyNumberFormat="1" applyFont="1" applyBorder="1" applyAlignment="1">
      <alignment vertical="center"/>
    </xf>
    <xf numFmtId="166" fontId="22" fillId="0" borderId="5" xfId="0" applyNumberFormat="1" applyFont="1" applyBorder="1" applyAlignment="1">
      <alignment vertical="center"/>
    </xf>
    <xf numFmtId="166" fontId="15" fillId="0" borderId="7" xfId="0" applyNumberFormat="1" applyFont="1" applyBorder="1" applyAlignment="1">
      <alignment vertical="center"/>
    </xf>
    <xf numFmtId="166" fontId="12" fillId="0" borderId="5" xfId="0" applyNumberFormat="1" applyFont="1" applyBorder="1" applyAlignment="1"/>
    <xf numFmtId="166" fontId="12" fillId="0" borderId="7" xfId="0" applyNumberFormat="1" applyFont="1" applyBorder="1" applyAlignment="1"/>
    <xf numFmtId="166" fontId="11" fillId="0" borderId="23" xfId="0" applyNumberFormat="1" applyFont="1" applyBorder="1" applyAlignment="1"/>
    <xf numFmtId="166" fontId="11" fillId="0" borderId="26" xfId="0" applyNumberFormat="1" applyFont="1" applyBorder="1" applyAlignment="1"/>
    <xf numFmtId="166" fontId="11" fillId="0" borderId="24" xfId="0" applyNumberFormat="1" applyFont="1" applyBorder="1" applyAlignment="1"/>
    <xf numFmtId="166" fontId="0" fillId="0" borderId="0" xfId="0" applyNumberFormat="1"/>
    <xf numFmtId="166" fontId="18" fillId="0" borderId="0" xfId="0" applyNumberFormat="1" applyFont="1"/>
    <xf numFmtId="166" fontId="9" fillId="0" borderId="0" xfId="0" applyNumberFormat="1" applyFont="1"/>
    <xf numFmtId="166" fontId="9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1" fillId="0" borderId="7" xfId="0" applyFont="1" applyBorder="1" applyAlignment="1">
      <alignment vertical="center"/>
    </xf>
    <xf numFmtId="166" fontId="6" fillId="0" borderId="7" xfId="0" applyNumberFormat="1" applyFont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166" fontId="4" fillId="0" borderId="7" xfId="0" applyNumberFormat="1" applyFont="1" applyBorder="1" applyAlignment="1">
      <alignment vertical="center"/>
    </xf>
    <xf numFmtId="166" fontId="22" fillId="0" borderId="7" xfId="0" applyNumberFormat="1" applyFont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right"/>
    </xf>
    <xf numFmtId="0" fontId="11" fillId="2" borderId="0" xfId="0" applyFont="1" applyFill="1" applyAlignment="1"/>
    <xf numFmtId="166" fontId="11" fillId="2" borderId="5" xfId="0" applyNumberFormat="1" applyFont="1" applyFill="1" applyBorder="1" applyAlignment="1"/>
    <xf numFmtId="166" fontId="11" fillId="2" borderId="7" xfId="0" applyNumberFormat="1" applyFont="1" applyFill="1" applyBorder="1" applyAlignment="1"/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164" fontId="7" fillId="2" borderId="13" xfId="0" applyNumberFormat="1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164" fontId="1" fillId="0" borderId="9" xfId="0" applyNumberFormat="1" applyFont="1" applyBorder="1" applyAlignment="1" applyProtection="1">
      <alignment horizontal="right" vertical="center"/>
      <protection locked="0"/>
    </xf>
    <xf numFmtId="165" fontId="1" fillId="2" borderId="9" xfId="0" applyNumberFormat="1" applyFont="1" applyFill="1" applyBorder="1" applyAlignment="1" applyProtection="1">
      <alignment vertical="center"/>
      <protection locked="0"/>
    </xf>
    <xf numFmtId="165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166" fontId="1" fillId="2" borderId="5" xfId="0" applyNumberFormat="1" applyFont="1" applyFill="1" applyBorder="1" applyAlignment="1">
      <alignment vertical="center"/>
    </xf>
    <xf numFmtId="166" fontId="12" fillId="2" borderId="7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164" fontId="4" fillId="2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9" fontId="1" fillId="2" borderId="6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13" xfId="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164" fontId="4" fillId="0" borderId="6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64" fontId="7" fillId="2" borderId="13" xfId="0" applyNumberFormat="1" applyFont="1" applyFill="1" applyBorder="1" applyAlignment="1" applyProtection="1">
      <alignment horizontal="right" vertical="center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164" fontId="1" fillId="2" borderId="13" xfId="0" applyNumberFormat="1" applyFont="1" applyFill="1" applyBorder="1" applyAlignment="1" applyProtection="1">
      <alignment vertical="center"/>
      <protection locked="0"/>
    </xf>
    <xf numFmtId="164" fontId="1" fillId="2" borderId="13" xfId="0" applyNumberFormat="1" applyFont="1" applyFill="1" applyBorder="1" applyAlignment="1" applyProtection="1">
      <alignment horizontal="right" vertical="center"/>
      <protection locked="0"/>
    </xf>
    <xf numFmtId="166" fontId="1" fillId="0" borderId="13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2" borderId="0" xfId="0" applyNumberFormat="1" applyFont="1" applyFill="1" applyAlignment="1">
      <alignment vertical="center"/>
    </xf>
    <xf numFmtId="165" fontId="1" fillId="0" borderId="0" xfId="0" applyNumberFormat="1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165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9" xfId="0" applyFont="1" applyBorder="1" applyAlignment="1"/>
    <xf numFmtId="165" fontId="11" fillId="0" borderId="10" xfId="0" applyNumberFormat="1" applyFont="1" applyBorder="1" applyAlignment="1"/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164" fontId="10" fillId="0" borderId="13" xfId="0" applyNumberFormat="1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165" fontId="10" fillId="2" borderId="6" xfId="0" applyNumberFormat="1" applyFont="1" applyFill="1" applyBorder="1" applyAlignment="1" applyProtection="1">
      <alignment vertical="center"/>
      <protection locked="0"/>
    </xf>
    <xf numFmtId="165" fontId="10" fillId="0" borderId="7" xfId="0" applyNumberFormat="1" applyFont="1" applyBorder="1" applyAlignment="1" applyProtection="1">
      <alignment vertical="center"/>
      <protection locked="0"/>
    </xf>
    <xf numFmtId="0" fontId="11" fillId="0" borderId="22" xfId="0" applyFont="1" applyBorder="1" applyAlignment="1"/>
    <xf numFmtId="165" fontId="11" fillId="0" borderId="21" xfId="0" applyNumberFormat="1" applyFont="1" applyBorder="1" applyAlignment="1"/>
    <xf numFmtId="0" fontId="11" fillId="0" borderId="16" xfId="0" applyFont="1" applyBorder="1" applyAlignment="1"/>
    <xf numFmtId="165" fontId="11" fillId="0" borderId="17" xfId="0" applyNumberFormat="1" applyFont="1" applyBorder="1" applyAlignme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165" fontId="1" fillId="2" borderId="0" xfId="0" applyNumberFormat="1" applyFont="1" applyFill="1" applyProtection="1">
      <protection locked="0"/>
    </xf>
    <xf numFmtId="165" fontId="1" fillId="0" borderId="0" xfId="0" applyNumberFormat="1" applyFont="1"/>
    <xf numFmtId="165" fontId="8" fillId="0" borderId="0" xfId="0" applyNumberFormat="1" applyFont="1" applyAlignment="1">
      <alignment horizontal="right"/>
    </xf>
    <xf numFmtId="0" fontId="11" fillId="0" borderId="15" xfId="0" applyFont="1" applyBorder="1"/>
    <xf numFmtId="165" fontId="11" fillId="0" borderId="19" xfId="0" applyNumberFormat="1" applyFont="1" applyBorder="1" applyAlignment="1">
      <alignment horizontal="right"/>
    </xf>
    <xf numFmtId="0" fontId="10" fillId="0" borderId="0" xfId="0" applyFont="1"/>
    <xf numFmtId="0" fontId="10" fillId="0" borderId="27" xfId="0" applyFont="1" applyBorder="1"/>
    <xf numFmtId="165" fontId="10" fillId="0" borderId="4" xfId="0" applyNumberFormat="1" applyFont="1" applyBorder="1" applyAlignment="1">
      <alignment horizontal="right"/>
    </xf>
    <xf numFmtId="0" fontId="10" fillId="0" borderId="8" xfId="0" applyFont="1" applyBorder="1"/>
    <xf numFmtId="165" fontId="10" fillId="0" borderId="7" xfId="0" applyNumberFormat="1" applyFont="1" applyBorder="1" applyAlignment="1">
      <alignment horizontal="right"/>
    </xf>
    <xf numFmtId="0" fontId="10" fillId="0" borderId="20" xfId="0" applyFont="1" applyBorder="1"/>
    <xf numFmtId="165" fontId="10" fillId="0" borderId="21" xfId="0" applyNumberFormat="1" applyFont="1" applyBorder="1" applyAlignment="1">
      <alignment horizontal="right"/>
    </xf>
    <xf numFmtId="0" fontId="11" fillId="0" borderId="18" xfId="0" applyFont="1" applyBorder="1"/>
    <xf numFmtId="0" fontId="22" fillId="0" borderId="6" xfId="0" applyFont="1" applyBorder="1" applyAlignment="1" applyProtection="1">
      <alignment horizontal="left" vertical="center" wrapText="1"/>
      <protection locked="0"/>
    </xf>
    <xf numFmtId="164" fontId="22" fillId="0" borderId="13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/>
    </xf>
    <xf numFmtId="164" fontId="24" fillId="0" borderId="13" xfId="0" applyNumberFormat="1" applyFont="1" applyBorder="1" applyAlignment="1">
      <alignment horizontal="right" vertical="center"/>
    </xf>
    <xf numFmtId="0" fontId="24" fillId="0" borderId="14" xfId="0" applyFont="1" applyBorder="1" applyAlignment="1">
      <alignment horizontal="left" vertical="center"/>
    </xf>
    <xf numFmtId="0" fontId="21" fillId="0" borderId="6" xfId="0" applyFont="1" applyBorder="1" applyAlignment="1" applyProtection="1">
      <alignment horizontal="left" vertical="center" wrapText="1"/>
      <protection locked="0"/>
    </xf>
    <xf numFmtId="164" fontId="21" fillId="0" borderId="13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 wrapText="1"/>
      <protection locked="0"/>
    </xf>
    <xf numFmtId="0" fontId="21" fillId="0" borderId="6" xfId="0" applyFont="1" applyBorder="1" applyAlignment="1">
      <alignment horizontal="left" vertical="center" wrapText="1"/>
    </xf>
    <xf numFmtId="164" fontId="21" fillId="0" borderId="13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horizontal="left" vertical="center"/>
    </xf>
    <xf numFmtId="165" fontId="12" fillId="2" borderId="7" xfId="0" applyNumberFormat="1" applyFont="1" applyFill="1" applyBorder="1" applyAlignment="1" applyProtection="1">
      <alignment vertical="center"/>
      <protection locked="0"/>
    </xf>
    <xf numFmtId="165" fontId="22" fillId="2" borderId="7" xfId="0" applyNumberFormat="1" applyFont="1" applyFill="1" applyBorder="1" applyAlignment="1" applyProtection="1">
      <alignment vertical="center"/>
      <protection locked="0"/>
    </xf>
    <xf numFmtId="166" fontId="22" fillId="0" borderId="13" xfId="0" applyNumberFormat="1" applyFont="1" applyBorder="1" applyAlignment="1">
      <alignment vertical="center"/>
    </xf>
    <xf numFmtId="166" fontId="19" fillId="0" borderId="7" xfId="0" applyNumberFormat="1" applyFont="1" applyBorder="1" applyAlignment="1">
      <alignment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vertical="center"/>
    </xf>
    <xf numFmtId="166" fontId="12" fillId="0" borderId="5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166" fontId="14" fillId="0" borderId="5" xfId="0" applyNumberFormat="1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left" vertical="center"/>
    </xf>
    <xf numFmtId="165" fontId="12" fillId="0" borderId="6" xfId="0" applyNumberFormat="1" applyFont="1" applyFill="1" applyBorder="1" applyAlignment="1" applyProtection="1">
      <alignment vertical="center"/>
      <protection locked="0"/>
    </xf>
    <xf numFmtId="165" fontId="1" fillId="0" borderId="7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166" fontId="1" fillId="0" borderId="5" xfId="0" applyNumberFormat="1" applyFont="1" applyFill="1" applyBorder="1" applyAlignment="1">
      <alignment vertical="center"/>
    </xf>
    <xf numFmtId="166" fontId="12" fillId="0" borderId="13" xfId="0" applyNumberFormat="1" applyFont="1" applyFill="1" applyBorder="1" applyAlignment="1">
      <alignment vertical="center"/>
    </xf>
    <xf numFmtId="166" fontId="12" fillId="0" borderId="7" xfId="0" applyNumberFormat="1" applyFont="1" applyFill="1" applyBorder="1" applyAlignment="1">
      <alignment vertical="center"/>
    </xf>
    <xf numFmtId="166" fontId="1" fillId="2" borderId="14" xfId="0" applyNumberFormat="1" applyFont="1" applyFill="1" applyBorder="1" applyAlignment="1">
      <alignment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66" fontId="12" fillId="2" borderId="13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165" fontId="4" fillId="2" borderId="7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0" fontId="22" fillId="2" borderId="6" xfId="0" applyFont="1" applyFill="1" applyBorder="1" applyAlignment="1" applyProtection="1">
      <alignment horizontal="left" vertical="center" wrapText="1"/>
      <protection locked="0"/>
    </xf>
    <xf numFmtId="164" fontId="22" fillId="2" borderId="13" xfId="0" applyNumberFormat="1" applyFont="1" applyFill="1" applyBorder="1" applyAlignment="1" applyProtection="1">
      <alignment vertical="center"/>
      <protection locked="0"/>
    </xf>
    <xf numFmtId="0" fontId="22" fillId="2" borderId="14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>
      <alignment horizontal="left" vertical="center" wrapText="1"/>
    </xf>
    <xf numFmtId="164" fontId="19" fillId="2" borderId="13" xfId="0" applyNumberFormat="1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164" fontId="12" fillId="2" borderId="13" xfId="0" applyNumberFormat="1" applyFont="1" applyFill="1" applyBorder="1" applyAlignment="1" applyProtection="1">
      <alignment vertical="center"/>
      <protection locked="0"/>
    </xf>
    <xf numFmtId="0" fontId="12" fillId="2" borderId="14" xfId="0" applyFont="1" applyFill="1" applyBorder="1" applyAlignment="1" applyProtection="1">
      <alignment vertical="center" wrapText="1"/>
      <protection locked="0"/>
    </xf>
    <xf numFmtId="164" fontId="19" fillId="2" borderId="13" xfId="0" applyNumberFormat="1" applyFont="1" applyFill="1" applyBorder="1" applyAlignment="1">
      <alignment horizontal="right" vertical="center"/>
    </xf>
    <xf numFmtId="0" fontId="19" fillId="2" borderId="14" xfId="0" applyFont="1" applyFill="1" applyBorder="1" applyAlignment="1">
      <alignment horizontal="left" vertical="center"/>
    </xf>
    <xf numFmtId="0" fontId="22" fillId="0" borderId="6" xfId="0" applyFont="1" applyBorder="1" applyAlignment="1">
      <alignment horizontal="left" vertical="center" wrapText="1"/>
    </xf>
    <xf numFmtId="164" fontId="22" fillId="0" borderId="13" xfId="0" applyNumberFormat="1" applyFont="1" applyBorder="1" applyAlignment="1">
      <alignment horizontal="right" vertical="center"/>
    </xf>
    <xf numFmtId="0" fontId="22" fillId="0" borderId="14" xfId="0" applyFont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66" fontId="15" fillId="2" borderId="7" xfId="0" applyNumberFormat="1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 wrapText="1"/>
    </xf>
    <xf numFmtId="164" fontId="15" fillId="2" borderId="13" xfId="0" applyNumberFormat="1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166" fontId="15" fillId="2" borderId="5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164" fontId="1" fillId="2" borderId="28" xfId="0" applyNumberFormat="1" applyFont="1" applyFill="1" applyBorder="1" applyAlignment="1" applyProtection="1">
      <alignment vertical="center"/>
      <protection locked="0"/>
    </xf>
    <xf numFmtId="164" fontId="4" fillId="2" borderId="28" xfId="0" applyNumberFormat="1" applyFont="1" applyFill="1" applyBorder="1" applyAlignment="1">
      <alignment vertical="center"/>
    </xf>
    <xf numFmtId="164" fontId="7" fillId="2" borderId="28" xfId="0" applyNumberFormat="1" applyFont="1" applyFill="1" applyBorder="1" applyAlignment="1" applyProtection="1">
      <alignment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A14" sqref="A14"/>
    </sheetView>
  </sheetViews>
  <sheetFormatPr defaultRowHeight="18" x14ac:dyDescent="0.25"/>
  <cols>
    <col min="1" max="1" width="119.33203125" style="46" customWidth="1"/>
    <col min="2" max="2" width="29.6640625" style="228" customWidth="1"/>
    <col min="3" max="3" width="21" style="46" customWidth="1"/>
    <col min="4" max="16384" width="9.33203125" style="46"/>
  </cols>
  <sheetData>
    <row r="1" spans="1:6" x14ac:dyDescent="0.25">
      <c r="A1" s="44" t="s">
        <v>195</v>
      </c>
      <c r="B1" s="76"/>
    </row>
    <row r="2" spans="1:6" x14ac:dyDescent="0.25">
      <c r="A2" s="44" t="s">
        <v>333</v>
      </c>
      <c r="B2" s="76"/>
    </row>
    <row r="3" spans="1:6" x14ac:dyDescent="0.25">
      <c r="A3" s="63"/>
      <c r="B3" s="63"/>
      <c r="C3" s="76"/>
      <c r="D3" s="76"/>
      <c r="E3" s="76"/>
      <c r="F3" s="76"/>
    </row>
    <row r="4" spans="1:6" ht="18.75" thickBot="1" x14ac:dyDescent="0.3">
      <c r="A4" s="53" t="s">
        <v>914</v>
      </c>
    </row>
    <row r="5" spans="1:6" s="231" customFormat="1" ht="24.95" customHeight="1" thickBot="1" x14ac:dyDescent="0.25">
      <c r="A5" s="229" t="s">
        <v>328</v>
      </c>
      <c r="B5" s="230" t="s">
        <v>329</v>
      </c>
    </row>
    <row r="6" spans="1:6" s="231" customFormat="1" ht="24.95" customHeight="1" x14ac:dyDescent="0.2">
      <c r="A6" s="232" t="s">
        <v>331</v>
      </c>
      <c r="B6" s="233">
        <f>'VÝMĚNA V+K'!H1111</f>
        <v>0</v>
      </c>
    </row>
    <row r="7" spans="1:6" s="231" customFormat="1" ht="24.95" customHeight="1" x14ac:dyDescent="0.2">
      <c r="A7" s="234" t="s">
        <v>330</v>
      </c>
      <c r="B7" s="235">
        <f>'VRN_Vedlejší rozpočtové náklady'!H19</f>
        <v>0</v>
      </c>
    </row>
    <row r="8" spans="1:6" s="231" customFormat="1" ht="24.95" customHeight="1" thickBot="1" x14ac:dyDescent="0.25">
      <c r="A8" s="236"/>
      <c r="B8" s="237"/>
    </row>
    <row r="9" spans="1:6" s="231" customFormat="1" ht="24.95" customHeight="1" thickBot="1" x14ac:dyDescent="0.25">
      <c r="A9" s="238" t="s">
        <v>915</v>
      </c>
      <c r="B9" s="230">
        <f>SUM(B6:B8)</f>
        <v>0</v>
      </c>
    </row>
    <row r="10" spans="1:6" s="231" customFormat="1" ht="24.95" customHeight="1" thickBot="1" x14ac:dyDescent="0.25">
      <c r="A10" s="238" t="s">
        <v>332</v>
      </c>
      <c r="B10" s="230">
        <f>B9*21%</f>
        <v>0</v>
      </c>
    </row>
    <row r="11" spans="1:6" s="231" customFormat="1" ht="24.95" customHeight="1" thickBot="1" x14ac:dyDescent="0.25">
      <c r="A11" s="238" t="s">
        <v>916</v>
      </c>
      <c r="B11" s="230">
        <f>B9+B10</f>
        <v>0</v>
      </c>
    </row>
    <row r="12" spans="1:6" ht="24.95" customHeight="1" x14ac:dyDescent="0.25"/>
    <row r="13" spans="1:6" ht="24.95" customHeight="1" x14ac:dyDescent="0.25"/>
    <row r="14" spans="1:6" ht="24.95" customHeight="1" x14ac:dyDescent="0.25">
      <c r="B14" s="46"/>
    </row>
    <row r="15" spans="1:6" ht="24.95" customHeight="1" x14ac:dyDescent="0.25">
      <c r="B15" s="46"/>
    </row>
    <row r="16" spans="1:6" x14ac:dyDescent="0.25">
      <c r="B16" s="46"/>
    </row>
    <row r="17" spans="2:2" x14ac:dyDescent="0.25">
      <c r="B17" s="46"/>
    </row>
    <row r="18" spans="2:2" x14ac:dyDescent="0.25">
      <c r="B18" s="46"/>
    </row>
    <row r="19" spans="2:2" x14ac:dyDescent="0.25">
      <c r="B19" s="46"/>
    </row>
    <row r="20" spans="2:2" x14ac:dyDescent="0.25">
      <c r="B20" s="46"/>
    </row>
    <row r="21" spans="2:2" x14ac:dyDescent="0.25">
      <c r="B21" s="46"/>
    </row>
    <row r="22" spans="2:2" x14ac:dyDescent="0.25">
      <c r="B22" s="46"/>
    </row>
  </sheetData>
  <printOptions horizontalCentered="1"/>
  <pageMargins left="0.11811023622047245" right="0.11811023622047245" top="0.19685039370078741" bottom="0.19685039370078741" header="0.31496062992125984" footer="0.31496062992125984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11"/>
  <sheetViews>
    <sheetView showGridLines="0" topLeftCell="A80" zoomScale="115" zoomScaleNormal="115" zoomScaleSheetLayoutView="85" workbookViewId="0">
      <selection activeCell="A5" sqref="A5:H5"/>
    </sheetView>
  </sheetViews>
  <sheetFormatPr defaultRowHeight="13.5" x14ac:dyDescent="0.3"/>
  <cols>
    <col min="1" max="2" width="5.83203125" customWidth="1"/>
    <col min="3" max="3" width="10.83203125" bestFit="1" customWidth="1"/>
    <col min="4" max="4" width="74" customWidth="1"/>
    <col min="5" max="5" width="11.1640625" style="1" customWidth="1"/>
    <col min="6" max="6" width="4.6640625" style="2" customWidth="1"/>
    <col min="7" max="7" width="11.83203125" style="3" customWidth="1"/>
    <col min="8" max="8" width="20.33203125" style="3" customWidth="1"/>
    <col min="9" max="9" width="9.33203125" customWidth="1"/>
    <col min="10" max="10" width="12.83203125" style="148" hidden="1" customWidth="1"/>
    <col min="11" max="11" width="12.83203125" style="149" hidden="1" customWidth="1"/>
    <col min="12" max="12" width="12.83203125" style="148" hidden="1" customWidth="1"/>
    <col min="13" max="13" width="12.83203125" style="149" hidden="1" customWidth="1"/>
    <col min="14" max="17" width="9.33203125" hidden="1" customWidth="1"/>
    <col min="18" max="28" width="9.33203125" customWidth="1"/>
  </cols>
  <sheetData>
    <row r="1" spans="1:13" s="46" customFormat="1" ht="36.950000000000003" customHeight="1" x14ac:dyDescent="0.25">
      <c r="A1" s="44" t="s">
        <v>195</v>
      </c>
      <c r="B1" s="45"/>
      <c r="E1" s="47"/>
      <c r="F1" s="48"/>
      <c r="G1" s="49"/>
      <c r="H1" s="49"/>
      <c r="J1" s="121"/>
      <c r="K1" s="150"/>
      <c r="L1" s="121"/>
      <c r="M1" s="150"/>
    </row>
    <row r="2" spans="1:13" s="46" customFormat="1" ht="24.95" customHeight="1" x14ac:dyDescent="0.25">
      <c r="A2" s="44" t="s">
        <v>159</v>
      </c>
      <c r="B2" s="76"/>
      <c r="J2" s="121"/>
      <c r="K2" s="150"/>
      <c r="L2" s="121"/>
      <c r="M2" s="150"/>
    </row>
    <row r="3" spans="1:13" s="46" customFormat="1" ht="36.950000000000003" customHeight="1" x14ac:dyDescent="0.25">
      <c r="A3" s="63"/>
      <c r="B3" s="45"/>
      <c r="C3" s="45"/>
      <c r="D3" s="45"/>
      <c r="E3" s="47"/>
      <c r="F3" s="48"/>
      <c r="G3" s="49"/>
      <c r="H3" s="49"/>
      <c r="J3" s="121"/>
      <c r="K3" s="150"/>
      <c r="L3" s="121"/>
      <c r="M3" s="150"/>
    </row>
    <row r="4" spans="1:13" s="52" customFormat="1" ht="36.950000000000003" customHeight="1" thickBot="1" x14ac:dyDescent="0.35">
      <c r="A4" s="53" t="s">
        <v>912</v>
      </c>
      <c r="E4" s="50"/>
      <c r="F4" s="51"/>
      <c r="G4" s="54"/>
      <c r="H4" s="54"/>
      <c r="J4" s="122"/>
      <c r="K4" s="151"/>
      <c r="L4" s="122"/>
      <c r="M4" s="151"/>
    </row>
    <row r="5" spans="1:13" s="55" customFormat="1" ht="67.5" customHeight="1" thickBot="1" x14ac:dyDescent="0.35">
      <c r="A5" s="313" t="s">
        <v>158</v>
      </c>
      <c r="B5" s="314"/>
      <c r="C5" s="314"/>
      <c r="D5" s="314"/>
      <c r="E5" s="314"/>
      <c r="F5" s="314"/>
      <c r="G5" s="314"/>
      <c r="H5" s="315"/>
      <c r="J5" s="123"/>
      <c r="K5" s="152"/>
      <c r="L5" s="123"/>
      <c r="M5" s="152"/>
    </row>
    <row r="6" spans="1:13" s="12" customFormat="1" ht="35.1" customHeight="1" thickBot="1" x14ac:dyDescent="0.35">
      <c r="A6" s="5" t="s">
        <v>5</v>
      </c>
      <c r="B6" s="6" t="s">
        <v>2</v>
      </c>
      <c r="C6" s="6" t="s">
        <v>1</v>
      </c>
      <c r="D6" s="7" t="s">
        <v>6</v>
      </c>
      <c r="E6" s="8" t="s">
        <v>8</v>
      </c>
      <c r="F6" s="9" t="s">
        <v>7</v>
      </c>
      <c r="G6" s="10" t="s">
        <v>151</v>
      </c>
      <c r="H6" s="11" t="s">
        <v>152</v>
      </c>
      <c r="J6" s="124" t="s">
        <v>172</v>
      </c>
      <c r="K6" s="125" t="s">
        <v>173</v>
      </c>
      <c r="L6" s="124" t="s">
        <v>174</v>
      </c>
      <c r="M6" s="126" t="s">
        <v>175</v>
      </c>
    </row>
    <row r="7" spans="1:13" s="71" customFormat="1" ht="35.1" customHeight="1" x14ac:dyDescent="0.2">
      <c r="A7" s="66"/>
      <c r="B7" s="67" t="s">
        <v>3</v>
      </c>
      <c r="C7" s="67" t="s">
        <v>9</v>
      </c>
      <c r="D7" s="67" t="s">
        <v>10</v>
      </c>
      <c r="E7" s="68"/>
      <c r="F7" s="67"/>
      <c r="G7" s="69"/>
      <c r="H7" s="70"/>
      <c r="J7" s="127"/>
      <c r="K7" s="128"/>
      <c r="L7" s="127"/>
      <c r="M7" s="129"/>
    </row>
    <row r="8" spans="1:13" s="71" customFormat="1" ht="35.1" customHeight="1" x14ac:dyDescent="0.2">
      <c r="A8" s="66"/>
      <c r="B8" s="67" t="s">
        <v>3</v>
      </c>
      <c r="C8" s="67" t="s">
        <v>4</v>
      </c>
      <c r="D8" s="67" t="s">
        <v>11</v>
      </c>
      <c r="E8" s="68"/>
      <c r="F8" s="67"/>
      <c r="G8" s="69"/>
      <c r="H8" s="70"/>
      <c r="J8" s="130"/>
      <c r="K8" s="131"/>
      <c r="L8" s="130"/>
      <c r="M8" s="132"/>
    </row>
    <row r="9" spans="1:13" s="4" customFormat="1" ht="35.1" customHeight="1" x14ac:dyDescent="0.3">
      <c r="A9" s="13">
        <v>1</v>
      </c>
      <c r="B9" s="14" t="s">
        <v>12</v>
      </c>
      <c r="C9" s="15" t="s">
        <v>340</v>
      </c>
      <c r="D9" s="16" t="s">
        <v>341</v>
      </c>
      <c r="E9" s="17">
        <f>E14</f>
        <v>478.5</v>
      </c>
      <c r="F9" s="18" t="s">
        <v>13</v>
      </c>
      <c r="G9" s="19"/>
      <c r="H9" s="20">
        <f>E9*G9</f>
        <v>0</v>
      </c>
      <c r="J9" s="133">
        <v>0</v>
      </c>
      <c r="K9" s="138">
        <f t="shared" ref="K9" si="0">E9*J9</f>
        <v>0</v>
      </c>
      <c r="L9" s="133">
        <v>0.44</v>
      </c>
      <c r="M9" s="155">
        <f>E9*L9</f>
        <v>210.54</v>
      </c>
    </row>
    <row r="10" spans="1:13" s="29" customFormat="1" ht="35.1" customHeight="1" x14ac:dyDescent="0.3">
      <c r="A10" s="21"/>
      <c r="B10" s="22"/>
      <c r="C10" s="23"/>
      <c r="D10" s="24"/>
      <c r="E10" s="25"/>
      <c r="F10" s="26"/>
      <c r="G10" s="27"/>
      <c r="H10" s="20"/>
      <c r="J10" s="134"/>
      <c r="K10" s="138"/>
      <c r="L10" s="134"/>
      <c r="M10" s="142"/>
    </row>
    <row r="11" spans="1:13" s="29" customFormat="1" ht="35.1" customHeight="1" x14ac:dyDescent="0.3">
      <c r="A11" s="21"/>
      <c r="B11" s="22"/>
      <c r="C11" s="23"/>
      <c r="D11" s="24" t="s">
        <v>196</v>
      </c>
      <c r="E11" s="25">
        <f>E16</f>
        <v>348.5</v>
      </c>
      <c r="F11" s="26" t="s">
        <v>13</v>
      </c>
      <c r="G11" s="27"/>
      <c r="H11" s="20"/>
      <c r="J11" s="134"/>
      <c r="K11" s="138"/>
      <c r="L11" s="134"/>
      <c r="M11" s="142"/>
    </row>
    <row r="12" spans="1:13" s="106" customFormat="1" ht="35.1" customHeight="1" x14ac:dyDescent="0.3">
      <c r="A12" s="99"/>
      <c r="B12" s="100"/>
      <c r="C12" s="101"/>
      <c r="D12" s="183" t="s">
        <v>708</v>
      </c>
      <c r="E12" s="187">
        <f>5*1*(2.5*0+2.5)+6*1*(2.5*0+3.5+1)+8*1*(2.5*0+3.5)+6*1*(3.5*0+3.5+1)+1*1*(2.5*0+3.5)</f>
        <v>98</v>
      </c>
      <c r="F12" s="188" t="s">
        <v>13</v>
      </c>
      <c r="G12" s="105"/>
      <c r="H12" s="252"/>
      <c r="J12" s="137"/>
      <c r="K12" s="138"/>
      <c r="L12" s="137"/>
      <c r="M12" s="142"/>
    </row>
    <row r="13" spans="1:13" s="106" customFormat="1" ht="35.1" customHeight="1" x14ac:dyDescent="0.3">
      <c r="A13" s="99"/>
      <c r="B13" s="100"/>
      <c r="C13" s="101"/>
      <c r="D13" s="183" t="s">
        <v>660</v>
      </c>
      <c r="E13" s="187">
        <f>16*1*2</f>
        <v>32</v>
      </c>
      <c r="F13" s="188" t="s">
        <v>13</v>
      </c>
      <c r="G13" s="105"/>
      <c r="H13" s="252"/>
      <c r="J13" s="137"/>
      <c r="K13" s="138"/>
      <c r="L13" s="137"/>
      <c r="M13" s="142"/>
    </row>
    <row r="14" spans="1:13" s="29" customFormat="1" ht="35.1" customHeight="1" x14ac:dyDescent="0.3">
      <c r="A14" s="21"/>
      <c r="B14" s="22"/>
      <c r="C14" s="23"/>
      <c r="D14" s="243" t="s">
        <v>18</v>
      </c>
      <c r="E14" s="244">
        <f>SUM(E11:E13)</f>
        <v>478.5</v>
      </c>
      <c r="F14" s="245" t="s">
        <v>13</v>
      </c>
      <c r="G14" s="27"/>
      <c r="H14" s="20"/>
      <c r="J14" s="134"/>
      <c r="K14" s="138"/>
      <c r="L14" s="134"/>
      <c r="M14" s="142"/>
    </row>
    <row r="15" spans="1:13" s="29" customFormat="1" ht="35.1" customHeight="1" x14ac:dyDescent="0.3">
      <c r="A15" s="21"/>
      <c r="B15" s="22"/>
      <c r="C15" s="23"/>
      <c r="D15" s="24"/>
      <c r="E15" s="25"/>
      <c r="F15" s="26"/>
      <c r="G15" s="27"/>
      <c r="H15" s="20"/>
      <c r="J15" s="134"/>
      <c r="K15" s="138"/>
      <c r="L15" s="134"/>
      <c r="M15" s="142"/>
    </row>
    <row r="16" spans="1:13" s="4" customFormat="1" ht="35.1" customHeight="1" x14ac:dyDescent="0.3">
      <c r="A16" s="13">
        <v>2</v>
      </c>
      <c r="B16" s="14" t="s">
        <v>12</v>
      </c>
      <c r="C16" s="15" t="s">
        <v>267</v>
      </c>
      <c r="D16" s="16" t="s">
        <v>268</v>
      </c>
      <c r="E16" s="65">
        <f>E95</f>
        <v>348.5</v>
      </c>
      <c r="F16" s="74" t="s">
        <v>13</v>
      </c>
      <c r="G16" s="19"/>
      <c r="H16" s="20">
        <f>E16*G16</f>
        <v>0</v>
      </c>
      <c r="J16" s="87"/>
      <c r="K16" s="138">
        <f t="shared" ref="K16:K217" si="1">E16*J16</f>
        <v>0</v>
      </c>
      <c r="L16" s="87">
        <v>0.22</v>
      </c>
      <c r="M16" s="155">
        <f>E16*L16</f>
        <v>76.67</v>
      </c>
    </row>
    <row r="17" spans="1:13" s="4" customFormat="1" ht="35.1" customHeight="1" x14ac:dyDescent="0.3">
      <c r="A17" s="13"/>
      <c r="B17" s="14"/>
      <c r="C17" s="15"/>
      <c r="D17" s="16" t="s">
        <v>355</v>
      </c>
      <c r="E17" s="65"/>
      <c r="F17" s="74"/>
      <c r="G17" s="19"/>
      <c r="H17" s="20"/>
      <c r="J17" s="87"/>
      <c r="K17" s="138"/>
      <c r="L17" s="87"/>
      <c r="M17" s="153"/>
    </row>
    <row r="18" spans="1:13" s="4" customFormat="1" ht="35.1" customHeight="1" x14ac:dyDescent="0.3">
      <c r="A18" s="13"/>
      <c r="B18" s="14"/>
      <c r="C18" s="15"/>
      <c r="D18" s="16" t="s">
        <v>377</v>
      </c>
      <c r="E18" s="65"/>
      <c r="F18" s="74"/>
      <c r="G18" s="19"/>
      <c r="H18" s="20"/>
      <c r="J18" s="87"/>
      <c r="K18" s="138"/>
      <c r="L18" s="87"/>
      <c r="M18" s="153"/>
    </row>
    <row r="19" spans="1:13" s="4" customFormat="1" ht="35.1" customHeight="1" x14ac:dyDescent="0.3">
      <c r="A19" s="13"/>
      <c r="B19" s="14"/>
      <c r="C19" s="15"/>
      <c r="D19" s="16" t="s">
        <v>378</v>
      </c>
      <c r="E19" s="65">
        <f>1.1*(116-6)</f>
        <v>121.00000000000001</v>
      </c>
      <c r="F19" s="74" t="s">
        <v>13</v>
      </c>
      <c r="G19" s="19"/>
      <c r="H19" s="20"/>
      <c r="J19" s="87"/>
      <c r="K19" s="138"/>
      <c r="L19" s="87"/>
      <c r="M19" s="153"/>
    </row>
    <row r="20" spans="1:13" s="4" customFormat="1" ht="35.1" customHeight="1" x14ac:dyDescent="0.3">
      <c r="A20" s="13"/>
      <c r="B20" s="14"/>
      <c r="C20" s="15"/>
      <c r="D20" s="246" t="s">
        <v>359</v>
      </c>
      <c r="E20" s="247">
        <f>SUM(E19)</f>
        <v>121.00000000000001</v>
      </c>
      <c r="F20" s="248" t="s">
        <v>13</v>
      </c>
      <c r="G20" s="19"/>
      <c r="H20" s="20"/>
      <c r="J20" s="87"/>
      <c r="K20" s="138"/>
      <c r="L20" s="87"/>
      <c r="M20" s="153"/>
    </row>
    <row r="21" spans="1:13" s="4" customFormat="1" ht="35.1" customHeight="1" x14ac:dyDescent="0.3">
      <c r="A21" s="13"/>
      <c r="B21" s="14"/>
      <c r="C21" s="15"/>
      <c r="D21" s="16" t="s">
        <v>356</v>
      </c>
      <c r="E21" s="65"/>
      <c r="F21" s="74"/>
      <c r="G21" s="19"/>
      <c r="H21" s="20"/>
      <c r="J21" s="87"/>
      <c r="K21" s="138"/>
      <c r="L21" s="87"/>
      <c r="M21" s="153"/>
    </row>
    <row r="22" spans="1:13" s="4" customFormat="1" ht="35.1" customHeight="1" x14ac:dyDescent="0.3">
      <c r="A22" s="13"/>
      <c r="B22" s="14"/>
      <c r="C22" s="15"/>
      <c r="D22" s="16" t="s">
        <v>357</v>
      </c>
      <c r="E22" s="65"/>
      <c r="F22" s="74"/>
      <c r="G22" s="19"/>
      <c r="H22" s="20"/>
      <c r="J22" s="87"/>
      <c r="K22" s="138"/>
      <c r="L22" s="87"/>
      <c r="M22" s="153"/>
    </row>
    <row r="23" spans="1:13" s="4" customFormat="1" ht="35.1" customHeight="1" x14ac:dyDescent="0.3">
      <c r="A23" s="13"/>
      <c r="B23" s="14"/>
      <c r="C23" s="15"/>
      <c r="D23" s="16" t="s">
        <v>379</v>
      </c>
      <c r="E23" s="65">
        <f>1*2.5</f>
        <v>2.5</v>
      </c>
      <c r="F23" s="74" t="s">
        <v>13</v>
      </c>
      <c r="G23" s="19"/>
      <c r="H23" s="20"/>
      <c r="J23" s="87"/>
      <c r="K23" s="138"/>
      <c r="L23" s="87"/>
      <c r="M23" s="153"/>
    </row>
    <row r="24" spans="1:13" s="4" customFormat="1" ht="35.1" customHeight="1" x14ac:dyDescent="0.3">
      <c r="A24" s="13"/>
      <c r="B24" s="14"/>
      <c r="C24" s="15"/>
      <c r="D24" s="16" t="s">
        <v>380</v>
      </c>
      <c r="E24" s="65">
        <f t="shared" ref="E24:E35" si="2">1*2.5</f>
        <v>2.5</v>
      </c>
      <c r="F24" s="74" t="s">
        <v>13</v>
      </c>
      <c r="G24" s="19"/>
      <c r="H24" s="20"/>
      <c r="J24" s="87"/>
      <c r="K24" s="138"/>
      <c r="L24" s="87"/>
      <c r="M24" s="153"/>
    </row>
    <row r="25" spans="1:13" s="4" customFormat="1" ht="35.1" customHeight="1" x14ac:dyDescent="0.3">
      <c r="A25" s="13"/>
      <c r="B25" s="14"/>
      <c r="C25" s="15"/>
      <c r="D25" s="16" t="s">
        <v>381</v>
      </c>
      <c r="E25" s="65">
        <f t="shared" si="2"/>
        <v>2.5</v>
      </c>
      <c r="F25" s="74" t="s">
        <v>13</v>
      </c>
      <c r="G25" s="19"/>
      <c r="H25" s="20"/>
      <c r="J25" s="87"/>
      <c r="K25" s="138"/>
      <c r="L25" s="87"/>
      <c r="M25" s="153"/>
    </row>
    <row r="26" spans="1:13" s="4" customFormat="1" ht="35.1" customHeight="1" x14ac:dyDescent="0.3">
      <c r="A26" s="13"/>
      <c r="B26" s="14"/>
      <c r="C26" s="15"/>
      <c r="D26" s="16" t="s">
        <v>382</v>
      </c>
      <c r="E26" s="65">
        <f t="shared" si="2"/>
        <v>2.5</v>
      </c>
      <c r="F26" s="74" t="s">
        <v>13</v>
      </c>
      <c r="G26" s="19"/>
      <c r="H26" s="20"/>
      <c r="J26" s="87"/>
      <c r="K26" s="138"/>
      <c r="L26" s="87"/>
      <c r="M26" s="153"/>
    </row>
    <row r="27" spans="1:13" s="4" customFormat="1" ht="35.1" customHeight="1" x14ac:dyDescent="0.3">
      <c r="A27" s="13"/>
      <c r="B27" s="14"/>
      <c r="C27" s="15"/>
      <c r="D27" s="16" t="s">
        <v>383</v>
      </c>
      <c r="E27" s="65">
        <f t="shared" si="2"/>
        <v>2.5</v>
      </c>
      <c r="F27" s="74" t="s">
        <v>13</v>
      </c>
      <c r="G27" s="19"/>
      <c r="H27" s="20"/>
      <c r="J27" s="87"/>
      <c r="K27" s="138"/>
      <c r="L27" s="87"/>
      <c r="M27" s="153"/>
    </row>
    <row r="28" spans="1:13" s="4" customFormat="1" ht="35.1" customHeight="1" x14ac:dyDescent="0.3">
      <c r="A28" s="13"/>
      <c r="B28" s="14"/>
      <c r="C28" s="15"/>
      <c r="D28" s="16" t="s">
        <v>384</v>
      </c>
      <c r="E28" s="65">
        <f t="shared" si="2"/>
        <v>2.5</v>
      </c>
      <c r="F28" s="74" t="s">
        <v>13</v>
      </c>
      <c r="G28" s="19"/>
      <c r="H28" s="20"/>
      <c r="J28" s="87"/>
      <c r="K28" s="138"/>
      <c r="L28" s="87"/>
      <c r="M28" s="153"/>
    </row>
    <row r="29" spans="1:13" s="4" customFormat="1" ht="35.1" customHeight="1" x14ac:dyDescent="0.3">
      <c r="A29" s="13"/>
      <c r="B29" s="14"/>
      <c r="C29" s="15"/>
      <c r="D29" s="16" t="s">
        <v>385</v>
      </c>
      <c r="E29" s="65">
        <f t="shared" si="2"/>
        <v>2.5</v>
      </c>
      <c r="F29" s="74" t="s">
        <v>13</v>
      </c>
      <c r="G29" s="19"/>
      <c r="H29" s="20"/>
      <c r="J29" s="87"/>
      <c r="K29" s="138"/>
      <c r="L29" s="87"/>
      <c r="M29" s="153"/>
    </row>
    <row r="30" spans="1:13" s="4" customFormat="1" ht="35.1" customHeight="1" x14ac:dyDescent="0.3">
      <c r="A30" s="13"/>
      <c r="B30" s="14"/>
      <c r="C30" s="15"/>
      <c r="D30" s="16" t="s">
        <v>386</v>
      </c>
      <c r="E30" s="65">
        <f t="shared" si="2"/>
        <v>2.5</v>
      </c>
      <c r="F30" s="74" t="s">
        <v>13</v>
      </c>
      <c r="G30" s="19"/>
      <c r="H30" s="20"/>
      <c r="J30" s="87"/>
      <c r="K30" s="138"/>
      <c r="L30" s="87"/>
      <c r="M30" s="153"/>
    </row>
    <row r="31" spans="1:13" s="4" customFormat="1" ht="35.1" customHeight="1" x14ac:dyDescent="0.3">
      <c r="A31" s="13"/>
      <c r="B31" s="14"/>
      <c r="C31" s="15"/>
      <c r="D31" s="16" t="s">
        <v>387</v>
      </c>
      <c r="E31" s="65">
        <f t="shared" si="2"/>
        <v>2.5</v>
      </c>
      <c r="F31" s="74" t="s">
        <v>13</v>
      </c>
      <c r="G31" s="19"/>
      <c r="H31" s="20"/>
      <c r="J31" s="87"/>
      <c r="K31" s="138"/>
      <c r="L31" s="87"/>
      <c r="M31" s="153"/>
    </row>
    <row r="32" spans="1:13" s="4" customFormat="1" ht="35.1" customHeight="1" x14ac:dyDescent="0.3">
      <c r="A32" s="13"/>
      <c r="B32" s="14"/>
      <c r="C32" s="15"/>
      <c r="D32" s="16" t="s">
        <v>388</v>
      </c>
      <c r="E32" s="65">
        <f t="shared" si="2"/>
        <v>2.5</v>
      </c>
      <c r="F32" s="74" t="s">
        <v>13</v>
      </c>
      <c r="G32" s="19"/>
      <c r="H32" s="20"/>
      <c r="J32" s="87"/>
      <c r="K32" s="138"/>
      <c r="L32" s="87"/>
      <c r="M32" s="153"/>
    </row>
    <row r="33" spans="1:13" s="4" customFormat="1" ht="35.1" customHeight="1" x14ac:dyDescent="0.3">
      <c r="A33" s="13"/>
      <c r="B33" s="14"/>
      <c r="C33" s="15"/>
      <c r="D33" s="16" t="s">
        <v>389</v>
      </c>
      <c r="E33" s="65">
        <f t="shared" si="2"/>
        <v>2.5</v>
      </c>
      <c r="F33" s="74" t="s">
        <v>13</v>
      </c>
      <c r="G33" s="19"/>
      <c r="H33" s="20"/>
      <c r="J33" s="87"/>
      <c r="K33" s="138"/>
      <c r="L33" s="87"/>
      <c r="M33" s="153"/>
    </row>
    <row r="34" spans="1:13" s="4" customFormat="1" ht="35.1" customHeight="1" x14ac:dyDescent="0.3">
      <c r="A34" s="13"/>
      <c r="B34" s="14"/>
      <c r="C34" s="15"/>
      <c r="D34" s="16" t="s">
        <v>390</v>
      </c>
      <c r="E34" s="65">
        <f t="shared" si="2"/>
        <v>2.5</v>
      </c>
      <c r="F34" s="74" t="s">
        <v>13</v>
      </c>
      <c r="G34" s="19"/>
      <c r="H34" s="20"/>
      <c r="J34" s="87"/>
      <c r="K34" s="138"/>
      <c r="L34" s="87"/>
      <c r="M34" s="153"/>
    </row>
    <row r="35" spans="1:13" s="4" customFormat="1" ht="35.1" customHeight="1" x14ac:dyDescent="0.3">
      <c r="A35" s="13"/>
      <c r="B35" s="14"/>
      <c r="C35" s="15"/>
      <c r="D35" s="16" t="s">
        <v>391</v>
      </c>
      <c r="E35" s="65">
        <f t="shared" si="2"/>
        <v>2.5</v>
      </c>
      <c r="F35" s="74" t="s">
        <v>13</v>
      </c>
      <c r="G35" s="19"/>
      <c r="H35" s="20"/>
      <c r="J35" s="87"/>
      <c r="K35" s="138"/>
      <c r="L35" s="87"/>
      <c r="M35" s="153"/>
    </row>
    <row r="36" spans="1:13" s="4" customFormat="1" ht="35.1" customHeight="1" x14ac:dyDescent="0.3">
      <c r="A36" s="13"/>
      <c r="B36" s="14"/>
      <c r="C36" s="15"/>
      <c r="D36" s="243" t="s">
        <v>358</v>
      </c>
      <c r="E36" s="244">
        <f>SUM(E23:E35)</f>
        <v>32.5</v>
      </c>
      <c r="F36" s="245" t="s">
        <v>13</v>
      </c>
      <c r="G36" s="19"/>
      <c r="H36" s="20"/>
      <c r="J36" s="87"/>
      <c r="K36" s="138"/>
      <c r="L36" s="87"/>
      <c r="M36" s="153"/>
    </row>
    <row r="37" spans="1:13" s="4" customFormat="1" ht="35.1" customHeight="1" x14ac:dyDescent="0.3">
      <c r="A37" s="13"/>
      <c r="B37" s="14"/>
      <c r="C37" s="15"/>
      <c r="D37" s="24"/>
      <c r="E37" s="25"/>
      <c r="F37" s="26"/>
      <c r="G37" s="19"/>
      <c r="H37" s="20"/>
      <c r="J37" s="87"/>
      <c r="K37" s="138"/>
      <c r="L37" s="87"/>
      <c r="M37" s="153"/>
    </row>
    <row r="38" spans="1:13" s="4" customFormat="1" ht="35.1" customHeight="1" x14ac:dyDescent="0.3">
      <c r="A38" s="13"/>
      <c r="B38" s="14"/>
      <c r="C38" s="15"/>
      <c r="D38" s="16" t="s">
        <v>360</v>
      </c>
      <c r="E38" s="25"/>
      <c r="F38" s="26"/>
      <c r="G38" s="19"/>
      <c r="H38" s="20"/>
      <c r="J38" s="87"/>
      <c r="K38" s="138"/>
      <c r="L38" s="87"/>
      <c r="M38" s="153"/>
    </row>
    <row r="39" spans="1:13" s="4" customFormat="1" ht="35.1" customHeight="1" x14ac:dyDescent="0.3">
      <c r="A39" s="13"/>
      <c r="B39" s="14"/>
      <c r="C39" s="15"/>
      <c r="D39" s="16" t="s">
        <v>392</v>
      </c>
      <c r="E39" s="65">
        <f>1*3.5</f>
        <v>3.5</v>
      </c>
      <c r="F39" s="74" t="s">
        <v>13</v>
      </c>
      <c r="G39" s="19"/>
      <c r="H39" s="20"/>
      <c r="J39" s="87"/>
      <c r="K39" s="138"/>
      <c r="L39" s="87"/>
      <c r="M39" s="153"/>
    </row>
    <row r="40" spans="1:13" s="4" customFormat="1" ht="35.1" customHeight="1" x14ac:dyDescent="0.3">
      <c r="A40" s="13"/>
      <c r="B40" s="14"/>
      <c r="C40" s="15"/>
      <c r="D40" s="16" t="s">
        <v>393</v>
      </c>
      <c r="E40" s="65">
        <f t="shared" ref="E40:E51" si="3">1*3.5</f>
        <v>3.5</v>
      </c>
      <c r="F40" s="74" t="s">
        <v>13</v>
      </c>
      <c r="G40" s="19"/>
      <c r="H40" s="20"/>
      <c r="J40" s="87"/>
      <c r="K40" s="138"/>
      <c r="L40" s="87"/>
      <c r="M40" s="153"/>
    </row>
    <row r="41" spans="1:13" s="4" customFormat="1" ht="35.1" customHeight="1" x14ac:dyDescent="0.3">
      <c r="A41" s="13"/>
      <c r="B41" s="14"/>
      <c r="C41" s="15"/>
      <c r="D41" s="16" t="s">
        <v>394</v>
      </c>
      <c r="E41" s="65">
        <f t="shared" si="3"/>
        <v>3.5</v>
      </c>
      <c r="F41" s="74" t="s">
        <v>13</v>
      </c>
      <c r="G41" s="19"/>
      <c r="H41" s="20"/>
      <c r="J41" s="87"/>
      <c r="K41" s="138"/>
      <c r="L41" s="87"/>
      <c r="M41" s="153"/>
    </row>
    <row r="42" spans="1:13" s="4" customFormat="1" ht="35.1" customHeight="1" x14ac:dyDescent="0.3">
      <c r="A42" s="13"/>
      <c r="B42" s="14"/>
      <c r="C42" s="15"/>
      <c r="D42" s="16" t="s">
        <v>395</v>
      </c>
      <c r="E42" s="65">
        <f t="shared" si="3"/>
        <v>3.5</v>
      </c>
      <c r="F42" s="74" t="s">
        <v>13</v>
      </c>
      <c r="G42" s="19"/>
      <c r="H42" s="20"/>
      <c r="J42" s="87"/>
      <c r="K42" s="138"/>
      <c r="L42" s="87"/>
      <c r="M42" s="153"/>
    </row>
    <row r="43" spans="1:13" s="4" customFormat="1" ht="35.1" customHeight="1" x14ac:dyDescent="0.3">
      <c r="A43" s="13"/>
      <c r="B43" s="14"/>
      <c r="C43" s="15"/>
      <c r="D43" s="16" t="s">
        <v>396</v>
      </c>
      <c r="E43" s="65">
        <f t="shared" si="3"/>
        <v>3.5</v>
      </c>
      <c r="F43" s="74" t="s">
        <v>13</v>
      </c>
      <c r="G43" s="19"/>
      <c r="H43" s="20"/>
      <c r="J43" s="87"/>
      <c r="K43" s="138"/>
      <c r="L43" s="87"/>
      <c r="M43" s="153"/>
    </row>
    <row r="44" spans="1:13" s="4" customFormat="1" ht="35.1" customHeight="1" x14ac:dyDescent="0.3">
      <c r="A44" s="13"/>
      <c r="B44" s="14"/>
      <c r="C44" s="15"/>
      <c r="D44" s="16" t="s">
        <v>397</v>
      </c>
      <c r="E44" s="65">
        <f t="shared" si="3"/>
        <v>3.5</v>
      </c>
      <c r="F44" s="74" t="s">
        <v>13</v>
      </c>
      <c r="G44" s="19"/>
      <c r="H44" s="20"/>
      <c r="J44" s="87"/>
      <c r="K44" s="138"/>
      <c r="L44" s="87"/>
      <c r="M44" s="153"/>
    </row>
    <row r="45" spans="1:13" s="4" customFormat="1" ht="35.1" customHeight="1" x14ac:dyDescent="0.3">
      <c r="A45" s="13"/>
      <c r="B45" s="14"/>
      <c r="C45" s="15"/>
      <c r="D45" s="16" t="s">
        <v>398</v>
      </c>
      <c r="E45" s="65">
        <f t="shared" si="3"/>
        <v>3.5</v>
      </c>
      <c r="F45" s="74" t="s">
        <v>13</v>
      </c>
      <c r="G45" s="19"/>
      <c r="H45" s="20"/>
      <c r="J45" s="87"/>
      <c r="K45" s="138"/>
      <c r="L45" s="87"/>
      <c r="M45" s="153"/>
    </row>
    <row r="46" spans="1:13" s="4" customFormat="1" ht="35.1" customHeight="1" x14ac:dyDescent="0.3">
      <c r="A46" s="13"/>
      <c r="B46" s="14"/>
      <c r="C46" s="15"/>
      <c r="D46" s="16" t="s">
        <v>399</v>
      </c>
      <c r="E46" s="65">
        <f t="shared" si="3"/>
        <v>3.5</v>
      </c>
      <c r="F46" s="74" t="s">
        <v>13</v>
      </c>
      <c r="G46" s="19"/>
      <c r="H46" s="20"/>
      <c r="J46" s="87"/>
      <c r="K46" s="138"/>
      <c r="L46" s="87"/>
      <c r="M46" s="153"/>
    </row>
    <row r="47" spans="1:13" s="4" customFormat="1" ht="35.1" customHeight="1" x14ac:dyDescent="0.3">
      <c r="A47" s="13"/>
      <c r="B47" s="14"/>
      <c r="C47" s="15"/>
      <c r="D47" s="16" t="s">
        <v>400</v>
      </c>
      <c r="E47" s="65">
        <f t="shared" si="3"/>
        <v>3.5</v>
      </c>
      <c r="F47" s="74" t="s">
        <v>13</v>
      </c>
      <c r="G47" s="19"/>
      <c r="H47" s="20"/>
      <c r="J47" s="87"/>
      <c r="K47" s="138"/>
      <c r="L47" s="87"/>
      <c r="M47" s="153"/>
    </row>
    <row r="48" spans="1:13" s="4" customFormat="1" ht="35.1" customHeight="1" x14ac:dyDescent="0.3">
      <c r="A48" s="13"/>
      <c r="B48" s="14"/>
      <c r="C48" s="15"/>
      <c r="D48" s="16" t="s">
        <v>401</v>
      </c>
      <c r="E48" s="65">
        <f t="shared" si="3"/>
        <v>3.5</v>
      </c>
      <c r="F48" s="74" t="s">
        <v>13</v>
      </c>
      <c r="G48" s="19"/>
      <c r="H48" s="20"/>
      <c r="J48" s="87"/>
      <c r="K48" s="138"/>
      <c r="L48" s="87"/>
      <c r="M48" s="153"/>
    </row>
    <row r="49" spans="1:13" s="4" customFormat="1" ht="35.1" customHeight="1" x14ac:dyDescent="0.3">
      <c r="A49" s="13"/>
      <c r="B49" s="14"/>
      <c r="C49" s="15"/>
      <c r="D49" s="16" t="s">
        <v>402</v>
      </c>
      <c r="E49" s="65">
        <f t="shared" si="3"/>
        <v>3.5</v>
      </c>
      <c r="F49" s="74" t="s">
        <v>13</v>
      </c>
      <c r="G49" s="19"/>
      <c r="H49" s="20"/>
      <c r="J49" s="87"/>
      <c r="K49" s="138"/>
      <c r="L49" s="87"/>
      <c r="M49" s="153"/>
    </row>
    <row r="50" spans="1:13" s="4" customFormat="1" ht="35.1" customHeight="1" x14ac:dyDescent="0.3">
      <c r="A50" s="13"/>
      <c r="B50" s="14"/>
      <c r="C50" s="15"/>
      <c r="D50" s="16" t="s">
        <v>403</v>
      </c>
      <c r="E50" s="65">
        <f t="shared" si="3"/>
        <v>3.5</v>
      </c>
      <c r="F50" s="74" t="s">
        <v>13</v>
      </c>
      <c r="G50" s="19"/>
      <c r="H50" s="20"/>
      <c r="J50" s="87"/>
      <c r="K50" s="138"/>
      <c r="L50" s="87"/>
      <c r="M50" s="153"/>
    </row>
    <row r="51" spans="1:13" s="4" customFormat="1" ht="35.1" customHeight="1" x14ac:dyDescent="0.3">
      <c r="A51" s="13"/>
      <c r="B51" s="14"/>
      <c r="C51" s="15"/>
      <c r="D51" s="16" t="s">
        <v>404</v>
      </c>
      <c r="E51" s="65">
        <f t="shared" si="3"/>
        <v>3.5</v>
      </c>
      <c r="F51" s="74" t="s">
        <v>13</v>
      </c>
      <c r="G51" s="19"/>
      <c r="H51" s="20"/>
      <c r="J51" s="87"/>
      <c r="K51" s="138"/>
      <c r="L51" s="87"/>
      <c r="M51" s="153"/>
    </row>
    <row r="52" spans="1:13" s="4" customFormat="1" ht="35.1" customHeight="1" x14ac:dyDescent="0.3">
      <c r="A52" s="13"/>
      <c r="B52" s="14"/>
      <c r="C52" s="15"/>
      <c r="D52" s="16" t="s">
        <v>427</v>
      </c>
      <c r="E52" s="65">
        <f>1*3.5</f>
        <v>3.5</v>
      </c>
      <c r="F52" s="74" t="s">
        <v>13</v>
      </c>
      <c r="G52" s="19"/>
      <c r="H52" s="20"/>
      <c r="J52" s="87"/>
      <c r="K52" s="138"/>
      <c r="L52" s="87"/>
      <c r="M52" s="153"/>
    </row>
    <row r="53" spans="1:13" s="4" customFormat="1" ht="35.1" customHeight="1" x14ac:dyDescent="0.3">
      <c r="A53" s="13"/>
      <c r="B53" s="14"/>
      <c r="C53" s="15"/>
      <c r="D53" s="243" t="s">
        <v>361</v>
      </c>
      <c r="E53" s="244">
        <f>SUM(E39:E52)</f>
        <v>49</v>
      </c>
      <c r="F53" s="245" t="s">
        <v>13</v>
      </c>
      <c r="G53" s="19"/>
      <c r="H53" s="20"/>
      <c r="J53" s="87"/>
      <c r="K53" s="138"/>
      <c r="L53" s="87"/>
      <c r="M53" s="153"/>
    </row>
    <row r="54" spans="1:13" s="4" customFormat="1" ht="35.1" customHeight="1" x14ac:dyDescent="0.3">
      <c r="A54" s="13"/>
      <c r="B54" s="14"/>
      <c r="C54" s="15"/>
      <c r="D54" s="243"/>
      <c r="E54" s="244"/>
      <c r="F54" s="245"/>
      <c r="G54" s="19"/>
      <c r="H54" s="20"/>
      <c r="J54" s="87"/>
      <c r="K54" s="138"/>
      <c r="L54" s="87"/>
      <c r="M54" s="153"/>
    </row>
    <row r="55" spans="1:13" s="4" customFormat="1" ht="35.1" customHeight="1" x14ac:dyDescent="0.3">
      <c r="A55" s="13"/>
      <c r="B55" s="14"/>
      <c r="C55" s="15"/>
      <c r="D55" s="24" t="s">
        <v>368</v>
      </c>
      <c r="E55" s="25"/>
      <c r="F55" s="26"/>
      <c r="G55" s="19"/>
      <c r="H55" s="20"/>
      <c r="J55" s="87"/>
      <c r="K55" s="198"/>
      <c r="L55" s="87"/>
      <c r="M55" s="153"/>
    </row>
    <row r="56" spans="1:13" s="4" customFormat="1" ht="35.1" customHeight="1" x14ac:dyDescent="0.3">
      <c r="A56" s="13"/>
      <c r="B56" s="14"/>
      <c r="C56" s="15"/>
      <c r="D56" s="24" t="s">
        <v>405</v>
      </c>
      <c r="E56" s="25">
        <f>2*1*6</f>
        <v>12</v>
      </c>
      <c r="F56" s="26" t="s">
        <v>13</v>
      </c>
      <c r="G56" s="19"/>
      <c r="H56" s="20"/>
      <c r="J56" s="87"/>
      <c r="K56" s="198"/>
      <c r="L56" s="87"/>
      <c r="M56" s="153"/>
    </row>
    <row r="57" spans="1:13" s="4" customFormat="1" ht="35.1" customHeight="1" x14ac:dyDescent="0.3">
      <c r="A57" s="13"/>
      <c r="B57" s="14"/>
      <c r="C57" s="15"/>
      <c r="D57" s="115" t="s">
        <v>369</v>
      </c>
      <c r="E57" s="116">
        <f>SUM(E56)</f>
        <v>12</v>
      </c>
      <c r="F57" s="117" t="s">
        <v>13</v>
      </c>
      <c r="G57" s="19"/>
      <c r="H57" s="20"/>
      <c r="J57" s="87"/>
      <c r="K57" s="138"/>
      <c r="L57" s="87"/>
      <c r="M57" s="153"/>
    </row>
    <row r="58" spans="1:13" s="4" customFormat="1" ht="35.1" customHeight="1" x14ac:dyDescent="0.3">
      <c r="A58" s="13"/>
      <c r="B58" s="14"/>
      <c r="C58" s="15"/>
      <c r="D58" s="243" t="s">
        <v>362</v>
      </c>
      <c r="E58" s="244">
        <f>E20+E36+E53+E57</f>
        <v>214.5</v>
      </c>
      <c r="F58" s="245" t="s">
        <v>13</v>
      </c>
      <c r="G58" s="19"/>
      <c r="H58" s="20"/>
      <c r="J58" s="87"/>
      <c r="K58" s="138"/>
      <c r="L58" s="87"/>
      <c r="M58" s="153"/>
    </row>
    <row r="59" spans="1:13" s="4" customFormat="1" ht="35.1" customHeight="1" x14ac:dyDescent="0.3">
      <c r="A59" s="13"/>
      <c r="B59" s="14"/>
      <c r="C59" s="15"/>
      <c r="D59" s="243"/>
      <c r="E59" s="244"/>
      <c r="F59" s="245"/>
      <c r="G59" s="19"/>
      <c r="H59" s="20"/>
      <c r="J59" s="87"/>
      <c r="K59" s="138"/>
      <c r="L59" s="87"/>
      <c r="M59" s="153"/>
    </row>
    <row r="60" spans="1:13" s="4" customFormat="1" ht="35.1" customHeight="1" x14ac:dyDescent="0.3">
      <c r="A60" s="13"/>
      <c r="B60" s="14"/>
      <c r="C60" s="15"/>
      <c r="D60" s="24" t="s">
        <v>406</v>
      </c>
      <c r="E60" s="25"/>
      <c r="F60" s="26"/>
      <c r="G60" s="19"/>
      <c r="H60" s="20"/>
      <c r="J60" s="87"/>
      <c r="K60" s="198"/>
      <c r="L60" s="87"/>
      <c r="M60" s="153"/>
    </row>
    <row r="61" spans="1:13" s="4" customFormat="1" ht="35.1" customHeight="1" x14ac:dyDescent="0.3">
      <c r="A61" s="13"/>
      <c r="B61" s="14"/>
      <c r="C61" s="15"/>
      <c r="D61" s="24" t="s">
        <v>407</v>
      </c>
      <c r="E61" s="25">
        <f>0.7*(116-6)</f>
        <v>77</v>
      </c>
      <c r="F61" s="26" t="s">
        <v>13</v>
      </c>
      <c r="G61" s="19"/>
      <c r="H61" s="20"/>
      <c r="J61" s="87"/>
      <c r="K61" s="198"/>
      <c r="L61" s="87"/>
      <c r="M61" s="153"/>
    </row>
    <row r="62" spans="1:13" s="4" customFormat="1" ht="35.1" customHeight="1" x14ac:dyDescent="0.3">
      <c r="A62" s="13"/>
      <c r="B62" s="14"/>
      <c r="C62" s="15"/>
      <c r="D62" s="246" t="s">
        <v>367</v>
      </c>
      <c r="E62" s="247">
        <f>SUM(E61)</f>
        <v>77</v>
      </c>
      <c r="F62" s="248" t="s">
        <v>13</v>
      </c>
      <c r="G62" s="19"/>
      <c r="H62" s="20"/>
      <c r="J62" s="87"/>
      <c r="K62" s="138"/>
      <c r="L62" s="87"/>
      <c r="M62" s="153"/>
    </row>
    <row r="63" spans="1:13" s="4" customFormat="1" ht="35.1" customHeight="1" x14ac:dyDescent="0.3">
      <c r="A63" s="13"/>
      <c r="B63" s="14"/>
      <c r="C63" s="15"/>
      <c r="D63" s="243"/>
      <c r="E63" s="244"/>
      <c r="F63" s="245"/>
      <c r="G63" s="19"/>
      <c r="H63" s="20"/>
      <c r="J63" s="87"/>
      <c r="K63" s="138"/>
      <c r="L63" s="87"/>
      <c r="M63" s="153"/>
    </row>
    <row r="64" spans="1:13" s="4" customFormat="1" ht="35.1" customHeight="1" x14ac:dyDescent="0.3">
      <c r="A64" s="13"/>
      <c r="B64" s="14"/>
      <c r="C64" s="15"/>
      <c r="D64" s="16" t="s">
        <v>363</v>
      </c>
      <c r="E64" s="244"/>
      <c r="F64" s="245"/>
      <c r="G64" s="19"/>
      <c r="H64" s="20"/>
      <c r="J64" s="87"/>
      <c r="K64" s="138"/>
      <c r="L64" s="87"/>
      <c r="M64" s="153"/>
    </row>
    <row r="65" spans="1:13" s="4" customFormat="1" ht="35.1" customHeight="1" x14ac:dyDescent="0.3">
      <c r="A65" s="13"/>
      <c r="B65" s="14"/>
      <c r="C65" s="15"/>
      <c r="D65" s="16" t="s">
        <v>357</v>
      </c>
      <c r="E65" s="65"/>
      <c r="F65" s="74"/>
      <c r="G65" s="19"/>
      <c r="H65" s="20"/>
      <c r="J65" s="87"/>
      <c r="K65" s="138"/>
      <c r="L65" s="87"/>
      <c r="M65" s="153"/>
    </row>
    <row r="66" spans="1:13" s="4" customFormat="1" ht="35.1" customHeight="1" x14ac:dyDescent="0.3">
      <c r="A66" s="13"/>
      <c r="B66" s="14"/>
      <c r="C66" s="15"/>
      <c r="D66" s="16" t="s">
        <v>408</v>
      </c>
      <c r="E66" s="65"/>
      <c r="F66" s="74"/>
      <c r="G66" s="19"/>
      <c r="H66" s="20"/>
      <c r="J66" s="87"/>
      <c r="K66" s="138"/>
      <c r="L66" s="87"/>
      <c r="M66" s="153"/>
    </row>
    <row r="67" spans="1:13" s="4" customFormat="1" ht="35.1" customHeight="1" x14ac:dyDescent="0.3">
      <c r="A67" s="13"/>
      <c r="B67" s="14"/>
      <c r="C67" s="15"/>
      <c r="D67" s="16" t="s">
        <v>409</v>
      </c>
      <c r="E67" s="65">
        <f>1*2.5</f>
        <v>2.5</v>
      </c>
      <c r="F67" s="74" t="s">
        <v>13</v>
      </c>
      <c r="G67" s="19"/>
      <c r="H67" s="20"/>
      <c r="J67" s="87"/>
      <c r="K67" s="138"/>
      <c r="L67" s="87"/>
      <c r="M67" s="153"/>
    </row>
    <row r="68" spans="1:13" s="4" customFormat="1" ht="35.1" customHeight="1" x14ac:dyDescent="0.3">
      <c r="A68" s="13"/>
      <c r="B68" s="14"/>
      <c r="C68" s="15"/>
      <c r="D68" s="16" t="s">
        <v>410</v>
      </c>
      <c r="E68" s="65">
        <f t="shared" ref="E68:E74" si="4">1*2.5</f>
        <v>2.5</v>
      </c>
      <c r="F68" s="74" t="s">
        <v>13</v>
      </c>
      <c r="G68" s="19"/>
      <c r="H68" s="20"/>
      <c r="J68" s="87"/>
      <c r="K68" s="138"/>
      <c r="L68" s="87"/>
      <c r="M68" s="153"/>
    </row>
    <row r="69" spans="1:13" s="4" customFormat="1" ht="35.1" customHeight="1" x14ac:dyDescent="0.3">
      <c r="A69" s="13"/>
      <c r="B69" s="14"/>
      <c r="C69" s="15"/>
      <c r="D69" s="16" t="s">
        <v>411</v>
      </c>
      <c r="E69" s="65">
        <f t="shared" si="4"/>
        <v>2.5</v>
      </c>
      <c r="F69" s="74" t="s">
        <v>13</v>
      </c>
      <c r="G69" s="19"/>
      <c r="H69" s="20"/>
      <c r="J69" s="87"/>
      <c r="K69" s="138"/>
      <c r="L69" s="87"/>
      <c r="M69" s="153"/>
    </row>
    <row r="70" spans="1:13" s="4" customFormat="1" ht="35.1" customHeight="1" x14ac:dyDescent="0.3">
      <c r="A70" s="13"/>
      <c r="B70" s="14"/>
      <c r="C70" s="15"/>
      <c r="D70" s="16" t="s">
        <v>412</v>
      </c>
      <c r="E70" s="65">
        <f t="shared" si="4"/>
        <v>2.5</v>
      </c>
      <c r="F70" s="74" t="s">
        <v>13</v>
      </c>
      <c r="G70" s="19"/>
      <c r="H70" s="20"/>
      <c r="J70" s="87"/>
      <c r="K70" s="138"/>
      <c r="L70" s="87"/>
      <c r="M70" s="153"/>
    </row>
    <row r="71" spans="1:13" s="4" customFormat="1" ht="35.1" customHeight="1" x14ac:dyDescent="0.3">
      <c r="A71" s="13"/>
      <c r="B71" s="14"/>
      <c r="C71" s="15"/>
      <c r="D71" s="16" t="s">
        <v>413</v>
      </c>
      <c r="E71" s="65">
        <f t="shared" si="4"/>
        <v>2.5</v>
      </c>
      <c r="F71" s="74" t="s">
        <v>13</v>
      </c>
      <c r="G71" s="19"/>
      <c r="H71" s="20"/>
      <c r="J71" s="87"/>
      <c r="K71" s="138"/>
      <c r="L71" s="87"/>
      <c r="M71" s="153"/>
    </row>
    <row r="72" spans="1:13" s="4" customFormat="1" ht="35.1" customHeight="1" x14ac:dyDescent="0.3">
      <c r="A72" s="13"/>
      <c r="B72" s="14"/>
      <c r="C72" s="15"/>
      <c r="D72" s="16" t="s">
        <v>414</v>
      </c>
      <c r="E72" s="65">
        <f t="shared" si="4"/>
        <v>2.5</v>
      </c>
      <c r="F72" s="74" t="s">
        <v>13</v>
      </c>
      <c r="G72" s="19"/>
      <c r="H72" s="20"/>
      <c r="J72" s="87"/>
      <c r="K72" s="138"/>
      <c r="L72" s="87"/>
      <c r="M72" s="153"/>
    </row>
    <row r="73" spans="1:13" s="4" customFormat="1" ht="35.1" customHeight="1" x14ac:dyDescent="0.3">
      <c r="A73" s="13"/>
      <c r="B73" s="14"/>
      <c r="C73" s="15"/>
      <c r="D73" s="16" t="s">
        <v>415</v>
      </c>
      <c r="E73" s="65">
        <f t="shared" si="4"/>
        <v>2.5</v>
      </c>
      <c r="F73" s="74" t="s">
        <v>13</v>
      </c>
      <c r="G73" s="19"/>
      <c r="H73" s="20"/>
      <c r="J73" s="87"/>
      <c r="K73" s="138"/>
      <c r="L73" s="87"/>
      <c r="M73" s="153"/>
    </row>
    <row r="74" spans="1:13" s="4" customFormat="1" ht="35.1" customHeight="1" x14ac:dyDescent="0.3">
      <c r="A74" s="13"/>
      <c r="B74" s="14"/>
      <c r="C74" s="15"/>
      <c r="D74" s="16" t="s">
        <v>416</v>
      </c>
      <c r="E74" s="65">
        <f t="shared" si="4"/>
        <v>2.5</v>
      </c>
      <c r="F74" s="74" t="s">
        <v>13</v>
      </c>
      <c r="G74" s="19"/>
      <c r="H74" s="20"/>
      <c r="J74" s="87"/>
      <c r="K74" s="138"/>
      <c r="L74" s="87"/>
      <c r="M74" s="153"/>
    </row>
    <row r="75" spans="1:13" s="4" customFormat="1" ht="35.1" customHeight="1" x14ac:dyDescent="0.3">
      <c r="A75" s="13"/>
      <c r="B75" s="14"/>
      <c r="C75" s="15"/>
      <c r="D75" s="115" t="s">
        <v>364</v>
      </c>
      <c r="E75" s="116">
        <f>SUM(E67:E74)</f>
        <v>20</v>
      </c>
      <c r="F75" s="117" t="s">
        <v>13</v>
      </c>
      <c r="G75" s="19"/>
      <c r="H75" s="20"/>
      <c r="J75" s="87"/>
      <c r="K75" s="138"/>
      <c r="L75" s="87"/>
      <c r="M75" s="153"/>
    </row>
    <row r="76" spans="1:13" s="4" customFormat="1" ht="35.1" customHeight="1" x14ac:dyDescent="0.3">
      <c r="A76" s="13"/>
      <c r="B76" s="14"/>
      <c r="C76" s="15"/>
      <c r="D76" s="243"/>
      <c r="E76" s="244"/>
      <c r="F76" s="245"/>
      <c r="G76" s="19"/>
      <c r="H76" s="20"/>
      <c r="J76" s="87"/>
      <c r="K76" s="138"/>
      <c r="L76" s="87"/>
      <c r="M76" s="153"/>
    </row>
    <row r="77" spans="1:13" s="4" customFormat="1" ht="35.1" customHeight="1" x14ac:dyDescent="0.3">
      <c r="A77" s="13"/>
      <c r="B77" s="14"/>
      <c r="C77" s="15"/>
      <c r="D77" s="16" t="s">
        <v>360</v>
      </c>
      <c r="E77" s="25"/>
      <c r="F77" s="26"/>
      <c r="G77" s="19"/>
      <c r="H77" s="20"/>
      <c r="J77" s="87"/>
      <c r="K77" s="138"/>
      <c r="L77" s="87"/>
      <c r="M77" s="153"/>
    </row>
    <row r="78" spans="1:13" s="4" customFormat="1" ht="35.1" customHeight="1" x14ac:dyDescent="0.3">
      <c r="A78" s="13"/>
      <c r="B78" s="14"/>
      <c r="C78" s="15"/>
      <c r="D78" s="16" t="s">
        <v>417</v>
      </c>
      <c r="E78" s="65">
        <f>1*3.5*0</f>
        <v>0</v>
      </c>
      <c r="F78" s="74" t="s">
        <v>13</v>
      </c>
      <c r="G78" s="19"/>
      <c r="H78" s="20"/>
      <c r="J78" s="87"/>
      <c r="K78" s="138"/>
      <c r="L78" s="87"/>
      <c r="M78" s="153"/>
    </row>
    <row r="79" spans="1:13" s="4" customFormat="1" ht="35.1" customHeight="1" x14ac:dyDescent="0.3">
      <c r="A79" s="13"/>
      <c r="B79" s="14"/>
      <c r="C79" s="15"/>
      <c r="D79" s="16" t="s">
        <v>418</v>
      </c>
      <c r="E79" s="65">
        <f t="shared" ref="E79:E86" si="5">1*3.5</f>
        <v>3.5</v>
      </c>
      <c r="F79" s="74" t="s">
        <v>13</v>
      </c>
      <c r="G79" s="19"/>
      <c r="H79" s="20"/>
      <c r="J79" s="87"/>
      <c r="K79" s="138"/>
      <c r="L79" s="87"/>
      <c r="M79" s="153"/>
    </row>
    <row r="80" spans="1:13" s="4" customFormat="1" ht="35.1" customHeight="1" x14ac:dyDescent="0.3">
      <c r="A80" s="13"/>
      <c r="B80" s="14"/>
      <c r="C80" s="15"/>
      <c r="D80" s="16" t="s">
        <v>419</v>
      </c>
      <c r="E80" s="65">
        <f t="shared" si="5"/>
        <v>3.5</v>
      </c>
      <c r="F80" s="74" t="s">
        <v>13</v>
      </c>
      <c r="G80" s="19"/>
      <c r="H80" s="20"/>
      <c r="J80" s="87"/>
      <c r="K80" s="138"/>
      <c r="L80" s="87"/>
      <c r="M80" s="153"/>
    </row>
    <row r="81" spans="1:13" s="4" customFormat="1" ht="35.1" customHeight="1" x14ac:dyDescent="0.3">
      <c r="A81" s="13"/>
      <c r="B81" s="14"/>
      <c r="C81" s="15"/>
      <c r="D81" s="16" t="s">
        <v>420</v>
      </c>
      <c r="E81" s="65">
        <f t="shared" si="5"/>
        <v>3.5</v>
      </c>
      <c r="F81" s="74" t="s">
        <v>13</v>
      </c>
      <c r="G81" s="19"/>
      <c r="H81" s="20"/>
      <c r="J81" s="87"/>
      <c r="K81" s="138"/>
      <c r="L81" s="87"/>
      <c r="M81" s="153"/>
    </row>
    <row r="82" spans="1:13" s="4" customFormat="1" ht="35.1" customHeight="1" x14ac:dyDescent="0.3">
      <c r="A82" s="13"/>
      <c r="B82" s="14"/>
      <c r="C82" s="15"/>
      <c r="D82" s="16" t="s">
        <v>421</v>
      </c>
      <c r="E82" s="65">
        <f t="shared" si="5"/>
        <v>3.5</v>
      </c>
      <c r="F82" s="74" t="s">
        <v>13</v>
      </c>
      <c r="G82" s="19"/>
      <c r="H82" s="20"/>
      <c r="J82" s="87"/>
      <c r="K82" s="138"/>
      <c r="L82" s="87"/>
      <c r="M82" s="153"/>
    </row>
    <row r="83" spans="1:13" s="4" customFormat="1" ht="35.1" customHeight="1" x14ac:dyDescent="0.3">
      <c r="A83" s="13"/>
      <c r="B83" s="14"/>
      <c r="C83" s="15"/>
      <c r="D83" s="16" t="s">
        <v>422</v>
      </c>
      <c r="E83" s="65">
        <f t="shared" si="5"/>
        <v>3.5</v>
      </c>
      <c r="F83" s="74" t="s">
        <v>13</v>
      </c>
      <c r="G83" s="19"/>
      <c r="H83" s="20"/>
      <c r="J83" s="87"/>
      <c r="K83" s="138"/>
      <c r="L83" s="87"/>
      <c r="M83" s="153"/>
    </row>
    <row r="84" spans="1:13" s="4" customFormat="1" ht="35.1" customHeight="1" x14ac:dyDescent="0.3">
      <c r="A84" s="13"/>
      <c r="B84" s="14"/>
      <c r="C84" s="15"/>
      <c r="D84" s="16" t="s">
        <v>423</v>
      </c>
      <c r="E84" s="65">
        <f t="shared" si="5"/>
        <v>3.5</v>
      </c>
      <c r="F84" s="74" t="s">
        <v>13</v>
      </c>
      <c r="G84" s="19"/>
      <c r="H84" s="20"/>
      <c r="J84" s="87"/>
      <c r="K84" s="138"/>
      <c r="L84" s="87"/>
      <c r="M84" s="153"/>
    </row>
    <row r="85" spans="1:13" s="4" customFormat="1" ht="35.1" customHeight="1" x14ac:dyDescent="0.3">
      <c r="A85" s="13"/>
      <c r="B85" s="14"/>
      <c r="C85" s="15"/>
      <c r="D85" s="16" t="s">
        <v>424</v>
      </c>
      <c r="E85" s="65">
        <f t="shared" si="5"/>
        <v>3.5</v>
      </c>
      <c r="F85" s="74" t="s">
        <v>13</v>
      </c>
      <c r="G85" s="19"/>
      <c r="H85" s="20"/>
      <c r="J85" s="87"/>
      <c r="K85" s="138"/>
      <c r="L85" s="87"/>
      <c r="M85" s="153"/>
    </row>
    <row r="86" spans="1:13" s="4" customFormat="1" ht="35.1" customHeight="1" x14ac:dyDescent="0.3">
      <c r="A86" s="13"/>
      <c r="B86" s="14"/>
      <c r="C86" s="15"/>
      <c r="D86" s="16" t="s">
        <v>425</v>
      </c>
      <c r="E86" s="65">
        <f t="shared" si="5"/>
        <v>3.5</v>
      </c>
      <c r="F86" s="74" t="s">
        <v>13</v>
      </c>
      <c r="G86" s="19"/>
      <c r="H86" s="20"/>
      <c r="J86" s="87"/>
      <c r="K86" s="138"/>
      <c r="L86" s="87"/>
      <c r="M86" s="153"/>
    </row>
    <row r="87" spans="1:13" s="4" customFormat="1" ht="35.1" customHeight="1" x14ac:dyDescent="0.3">
      <c r="A87" s="13"/>
      <c r="B87" s="14"/>
      <c r="C87" s="15"/>
      <c r="D87" s="16" t="s">
        <v>426</v>
      </c>
      <c r="E87" s="65">
        <f>1*3.5*0</f>
        <v>0</v>
      </c>
      <c r="F87" s="74" t="s">
        <v>13</v>
      </c>
      <c r="G87" s="19"/>
      <c r="H87" s="20"/>
      <c r="J87" s="87"/>
      <c r="K87" s="138"/>
      <c r="L87" s="87"/>
      <c r="M87" s="153"/>
    </row>
    <row r="88" spans="1:13" s="4" customFormat="1" ht="35.1" customHeight="1" x14ac:dyDescent="0.3">
      <c r="A88" s="13"/>
      <c r="B88" s="14"/>
      <c r="C88" s="15"/>
      <c r="D88" s="243" t="s">
        <v>365</v>
      </c>
      <c r="E88" s="244">
        <f>SUM(E78:E87)</f>
        <v>28</v>
      </c>
      <c r="F88" s="245" t="s">
        <v>13</v>
      </c>
      <c r="G88" s="19"/>
      <c r="H88" s="20"/>
      <c r="J88" s="87"/>
      <c r="K88" s="138"/>
      <c r="L88" s="87"/>
      <c r="M88" s="153"/>
    </row>
    <row r="89" spans="1:13" s="4" customFormat="1" ht="35.1" customHeight="1" x14ac:dyDescent="0.3">
      <c r="A89" s="13"/>
      <c r="B89" s="14"/>
      <c r="C89" s="15"/>
      <c r="D89" s="243" t="s">
        <v>366</v>
      </c>
      <c r="E89" s="244">
        <f>E62+E75+E88</f>
        <v>125</v>
      </c>
      <c r="F89" s="245" t="s">
        <v>13</v>
      </c>
      <c r="G89" s="19"/>
      <c r="H89" s="20"/>
      <c r="J89" s="87"/>
      <c r="K89" s="138"/>
      <c r="L89" s="87"/>
      <c r="M89" s="153"/>
    </row>
    <row r="90" spans="1:13" s="4" customFormat="1" ht="35.1" customHeight="1" x14ac:dyDescent="0.3">
      <c r="A90" s="13"/>
      <c r="B90" s="14"/>
      <c r="C90" s="15"/>
      <c r="D90" s="243"/>
      <c r="E90" s="244"/>
      <c r="F90" s="245"/>
      <c r="G90" s="19"/>
      <c r="H90" s="20"/>
      <c r="J90" s="87"/>
      <c r="K90" s="138"/>
      <c r="L90" s="87"/>
      <c r="M90" s="153"/>
    </row>
    <row r="91" spans="1:13" s="4" customFormat="1" ht="35.1" customHeight="1" x14ac:dyDescent="0.3">
      <c r="A91" s="13"/>
      <c r="B91" s="14"/>
      <c r="C91" s="15"/>
      <c r="D91" s="115" t="s">
        <v>372</v>
      </c>
      <c r="E91" s="116"/>
      <c r="F91" s="117"/>
      <c r="G91" s="19"/>
      <c r="H91" s="20"/>
      <c r="J91" s="87"/>
      <c r="K91" s="198"/>
      <c r="L91" s="87"/>
      <c r="M91" s="153"/>
    </row>
    <row r="92" spans="1:13" s="4" customFormat="1" ht="35.1" customHeight="1" x14ac:dyDescent="0.3">
      <c r="A92" s="13"/>
      <c r="B92" s="14"/>
      <c r="C92" s="15"/>
      <c r="D92" s="115" t="s">
        <v>373</v>
      </c>
      <c r="E92" s="116">
        <f>2*2*2</f>
        <v>8</v>
      </c>
      <c r="F92" s="117" t="s">
        <v>13</v>
      </c>
      <c r="G92" s="19"/>
      <c r="H92" s="20"/>
      <c r="J92" s="87"/>
      <c r="K92" s="198"/>
      <c r="L92" s="87"/>
      <c r="M92" s="153"/>
    </row>
    <row r="93" spans="1:13" s="4" customFormat="1" ht="35.1" customHeight="1" x14ac:dyDescent="0.3">
      <c r="A93" s="13"/>
      <c r="B93" s="14"/>
      <c r="C93" s="15"/>
      <c r="D93" s="115" t="s">
        <v>374</v>
      </c>
      <c r="E93" s="116">
        <f>1*1</f>
        <v>1</v>
      </c>
      <c r="F93" s="117" t="s">
        <v>13</v>
      </c>
      <c r="G93" s="19"/>
      <c r="H93" s="20"/>
      <c r="J93" s="87"/>
      <c r="K93" s="198"/>
      <c r="L93" s="87"/>
      <c r="M93" s="153"/>
    </row>
    <row r="94" spans="1:13" s="4" customFormat="1" ht="35.1" customHeight="1" x14ac:dyDescent="0.3">
      <c r="A94" s="13"/>
      <c r="B94" s="14"/>
      <c r="C94" s="15"/>
      <c r="D94" s="243" t="s">
        <v>204</v>
      </c>
      <c r="E94" s="244">
        <f>SUM(E92:E93)</f>
        <v>9</v>
      </c>
      <c r="F94" s="245" t="s">
        <v>13</v>
      </c>
      <c r="G94" s="19"/>
      <c r="H94" s="20"/>
      <c r="J94" s="87"/>
      <c r="K94" s="138"/>
      <c r="L94" s="87"/>
      <c r="M94" s="153"/>
    </row>
    <row r="95" spans="1:13" s="4" customFormat="1" ht="35.1" customHeight="1" x14ac:dyDescent="0.3">
      <c r="A95" s="13"/>
      <c r="B95" s="14"/>
      <c r="C95" s="15"/>
      <c r="D95" s="249" t="s">
        <v>18</v>
      </c>
      <c r="E95" s="250">
        <f>E58+E89+E94</f>
        <v>348.5</v>
      </c>
      <c r="F95" s="251" t="s">
        <v>13</v>
      </c>
      <c r="G95" s="19"/>
      <c r="H95" s="20"/>
      <c r="J95" s="87"/>
      <c r="K95" s="138"/>
      <c r="L95" s="87"/>
      <c r="M95" s="153"/>
    </row>
    <row r="96" spans="1:13" s="29" customFormat="1" ht="35.1" customHeight="1" x14ac:dyDescent="0.3">
      <c r="A96" s="21"/>
      <c r="B96" s="22"/>
      <c r="C96" s="23"/>
      <c r="D96" s="24"/>
      <c r="E96" s="25"/>
      <c r="F96" s="26"/>
      <c r="G96" s="27"/>
      <c r="H96" s="20"/>
      <c r="J96" s="134"/>
      <c r="K96" s="138"/>
      <c r="L96" s="134"/>
      <c r="M96" s="142"/>
    </row>
    <row r="97" spans="1:13" s="4" customFormat="1" ht="35.1" customHeight="1" x14ac:dyDescent="0.3">
      <c r="A97" s="13">
        <v>3</v>
      </c>
      <c r="B97" s="14" t="s">
        <v>12</v>
      </c>
      <c r="C97" s="15" t="s">
        <v>15</v>
      </c>
      <c r="D97" s="16" t="s">
        <v>16</v>
      </c>
      <c r="E97" s="17">
        <f>E215</f>
        <v>287.72499999999997</v>
      </c>
      <c r="F97" s="18" t="s">
        <v>17</v>
      </c>
      <c r="G97" s="19"/>
      <c r="H97" s="20">
        <f>E97*G97</f>
        <v>0</v>
      </c>
      <c r="J97" s="133">
        <v>0</v>
      </c>
      <c r="K97" s="138">
        <f t="shared" si="1"/>
        <v>0</v>
      </c>
      <c r="L97" s="133">
        <v>0</v>
      </c>
      <c r="M97" s="139" t="e">
        <f>L97*#REF!</f>
        <v>#REF!</v>
      </c>
    </row>
    <row r="98" spans="1:13" s="29" customFormat="1" ht="35.1" customHeight="1" x14ac:dyDescent="0.3">
      <c r="A98" s="21"/>
      <c r="B98" s="22"/>
      <c r="C98" s="23"/>
      <c r="D98" s="16" t="s">
        <v>355</v>
      </c>
      <c r="E98" s="65"/>
      <c r="F98" s="74"/>
      <c r="G98" s="27"/>
      <c r="H98" s="20"/>
      <c r="J98" s="134"/>
      <c r="K98" s="138"/>
      <c r="L98" s="134"/>
      <c r="M98" s="142"/>
    </row>
    <row r="99" spans="1:13" s="29" customFormat="1" ht="35.1" customHeight="1" x14ac:dyDescent="0.3">
      <c r="A99" s="21"/>
      <c r="B99" s="22"/>
      <c r="C99" s="23"/>
      <c r="D99" s="16" t="s">
        <v>377</v>
      </c>
      <c r="E99" s="65"/>
      <c r="F99" s="74"/>
      <c r="G99" s="27"/>
      <c r="H99" s="20"/>
      <c r="J99" s="134"/>
      <c r="K99" s="138"/>
      <c r="L99" s="134"/>
      <c r="M99" s="142"/>
    </row>
    <row r="100" spans="1:13" s="29" customFormat="1" ht="35.1" customHeight="1" x14ac:dyDescent="0.3">
      <c r="A100" s="21"/>
      <c r="B100" s="22"/>
      <c r="C100" s="23"/>
      <c r="D100" s="16" t="s">
        <v>376</v>
      </c>
      <c r="E100" s="65">
        <f>(1.5-0.4)*1.1*(116-6)</f>
        <v>133.10000000000002</v>
      </c>
      <c r="F100" s="74" t="s">
        <v>17</v>
      </c>
      <c r="G100" s="27"/>
      <c r="H100" s="20"/>
      <c r="J100" s="134"/>
      <c r="K100" s="138"/>
      <c r="L100" s="134"/>
      <c r="M100" s="142"/>
    </row>
    <row r="101" spans="1:13" s="29" customFormat="1" ht="35.1" customHeight="1" x14ac:dyDescent="0.3">
      <c r="A101" s="21"/>
      <c r="B101" s="22"/>
      <c r="C101" s="23"/>
      <c r="D101" s="246" t="s">
        <v>359</v>
      </c>
      <c r="E101" s="247">
        <f>SUM(E100)</f>
        <v>133.10000000000002</v>
      </c>
      <c r="F101" s="248" t="s">
        <v>17</v>
      </c>
      <c r="G101" s="27"/>
      <c r="H101" s="20"/>
      <c r="J101" s="134"/>
      <c r="K101" s="138"/>
      <c r="L101" s="134"/>
      <c r="M101" s="142"/>
    </row>
    <row r="102" spans="1:13" s="29" customFormat="1" ht="35.1" customHeight="1" x14ac:dyDescent="0.3">
      <c r="A102" s="21"/>
      <c r="B102" s="22"/>
      <c r="C102" s="23"/>
      <c r="D102" s="16" t="s">
        <v>356</v>
      </c>
      <c r="E102" s="65"/>
      <c r="F102" s="74"/>
      <c r="G102" s="27"/>
      <c r="H102" s="20"/>
      <c r="J102" s="134"/>
      <c r="K102" s="138"/>
      <c r="L102" s="134"/>
      <c r="M102" s="142"/>
    </row>
    <row r="103" spans="1:13" s="29" customFormat="1" ht="35.1" customHeight="1" x14ac:dyDescent="0.3">
      <c r="A103" s="21"/>
      <c r="B103" s="22"/>
      <c r="C103" s="23"/>
      <c r="D103" s="16" t="s">
        <v>357</v>
      </c>
      <c r="E103" s="65"/>
      <c r="F103" s="74"/>
      <c r="G103" s="27"/>
      <c r="H103" s="20"/>
      <c r="J103" s="134"/>
      <c r="K103" s="138"/>
      <c r="L103" s="134"/>
      <c r="M103" s="142"/>
    </row>
    <row r="104" spans="1:13" s="29" customFormat="1" ht="35.1" customHeight="1" x14ac:dyDescent="0.3">
      <c r="A104" s="21"/>
      <c r="B104" s="22"/>
      <c r="C104" s="23"/>
      <c r="D104" s="193" t="s">
        <v>434</v>
      </c>
      <c r="E104" s="65">
        <f t="shared" ref="E104:E124" si="6">(1.5-0.4)*1*2.5</f>
        <v>2.75</v>
      </c>
      <c r="F104" s="74" t="s">
        <v>17</v>
      </c>
      <c r="G104" s="27"/>
      <c r="H104" s="20"/>
      <c r="J104" s="134"/>
      <c r="K104" s="138"/>
      <c r="L104" s="134"/>
      <c r="M104" s="142"/>
    </row>
    <row r="105" spans="1:13" s="29" customFormat="1" ht="35.1" customHeight="1" x14ac:dyDescent="0.3">
      <c r="A105" s="21"/>
      <c r="B105" s="22"/>
      <c r="C105" s="23"/>
      <c r="D105" s="193" t="s">
        <v>439</v>
      </c>
      <c r="E105" s="65">
        <f>(1.5-0.1)*1*2.5</f>
        <v>3.5</v>
      </c>
      <c r="F105" s="74" t="s">
        <v>17</v>
      </c>
      <c r="G105" s="27"/>
      <c r="H105" s="20"/>
      <c r="J105" s="134"/>
      <c r="K105" s="138"/>
      <c r="L105" s="134"/>
      <c r="M105" s="142"/>
    </row>
    <row r="106" spans="1:13" s="29" customFormat="1" ht="35.1" customHeight="1" x14ac:dyDescent="0.3">
      <c r="A106" s="21"/>
      <c r="B106" s="22"/>
      <c r="C106" s="23"/>
      <c r="D106" s="193" t="s">
        <v>435</v>
      </c>
      <c r="E106" s="65">
        <f t="shared" si="6"/>
        <v>2.75</v>
      </c>
      <c r="F106" s="74" t="s">
        <v>17</v>
      </c>
      <c r="G106" s="27"/>
      <c r="H106" s="20"/>
      <c r="J106" s="134"/>
      <c r="K106" s="138"/>
      <c r="L106" s="134"/>
      <c r="M106" s="142"/>
    </row>
    <row r="107" spans="1:13" s="29" customFormat="1" ht="35.1" customHeight="1" x14ac:dyDescent="0.3">
      <c r="A107" s="21"/>
      <c r="B107" s="22"/>
      <c r="C107" s="23"/>
      <c r="D107" s="193" t="s">
        <v>440</v>
      </c>
      <c r="E107" s="65">
        <f>(1.5-0.1)*1*2.5</f>
        <v>3.5</v>
      </c>
      <c r="F107" s="74" t="s">
        <v>17</v>
      </c>
      <c r="G107" s="27"/>
      <c r="H107" s="20"/>
      <c r="J107" s="134"/>
      <c r="K107" s="138"/>
      <c r="L107" s="134"/>
      <c r="M107" s="142"/>
    </row>
    <row r="108" spans="1:13" s="29" customFormat="1" ht="35.1" customHeight="1" x14ac:dyDescent="0.3">
      <c r="A108" s="21"/>
      <c r="B108" s="22"/>
      <c r="C108" s="23"/>
      <c r="D108" s="193" t="s">
        <v>436</v>
      </c>
      <c r="E108" s="65">
        <f t="shared" si="6"/>
        <v>2.75</v>
      </c>
      <c r="F108" s="74" t="s">
        <v>17</v>
      </c>
      <c r="G108" s="27"/>
      <c r="H108" s="20"/>
      <c r="J108" s="134"/>
      <c r="K108" s="138"/>
      <c r="L108" s="134"/>
      <c r="M108" s="142"/>
    </row>
    <row r="109" spans="1:13" s="29" customFormat="1" ht="35.1" customHeight="1" x14ac:dyDescent="0.3">
      <c r="A109" s="21"/>
      <c r="B109" s="22"/>
      <c r="C109" s="23"/>
      <c r="D109" s="193" t="s">
        <v>473</v>
      </c>
      <c r="E109" s="65">
        <f>(1.5-0.1)*1*(3.5+1)</f>
        <v>6.3</v>
      </c>
      <c r="F109" s="74" t="s">
        <v>17</v>
      </c>
      <c r="G109" s="27"/>
      <c r="H109" s="20"/>
      <c r="J109" s="134"/>
      <c r="K109" s="138"/>
      <c r="L109" s="134"/>
      <c r="M109" s="142"/>
    </row>
    <row r="110" spans="1:13" s="29" customFormat="1" ht="35.1" customHeight="1" x14ac:dyDescent="0.3">
      <c r="A110" s="21"/>
      <c r="B110" s="22"/>
      <c r="C110" s="23"/>
      <c r="D110" s="193" t="s">
        <v>437</v>
      </c>
      <c r="E110" s="65">
        <f t="shared" si="6"/>
        <v>2.75</v>
      </c>
      <c r="F110" s="74" t="s">
        <v>17</v>
      </c>
      <c r="G110" s="27"/>
      <c r="H110" s="20"/>
      <c r="J110" s="134"/>
      <c r="K110" s="138"/>
      <c r="L110" s="134"/>
      <c r="M110" s="142"/>
    </row>
    <row r="111" spans="1:13" s="29" customFormat="1" ht="35.1" customHeight="1" x14ac:dyDescent="0.3">
      <c r="A111" s="21"/>
      <c r="B111" s="22"/>
      <c r="C111" s="23"/>
      <c r="D111" s="193" t="s">
        <v>474</v>
      </c>
      <c r="E111" s="65">
        <f>(1.5-0.1)*1*(3.5+1)</f>
        <v>6.3</v>
      </c>
      <c r="F111" s="74" t="s">
        <v>17</v>
      </c>
      <c r="G111" s="27"/>
      <c r="H111" s="20"/>
      <c r="J111" s="134"/>
      <c r="K111" s="138"/>
      <c r="L111" s="134"/>
      <c r="M111" s="142"/>
    </row>
    <row r="112" spans="1:13" s="29" customFormat="1" ht="35.1" customHeight="1" x14ac:dyDescent="0.3">
      <c r="A112" s="21"/>
      <c r="B112" s="22"/>
      <c r="C112" s="23"/>
      <c r="D112" s="193" t="s">
        <v>441</v>
      </c>
      <c r="E112" s="65">
        <f t="shared" si="6"/>
        <v>2.75</v>
      </c>
      <c r="F112" s="74" t="s">
        <v>17</v>
      </c>
      <c r="G112" s="27"/>
      <c r="H112" s="20"/>
      <c r="J112" s="134"/>
      <c r="K112" s="138"/>
      <c r="L112" s="134"/>
      <c r="M112" s="142"/>
    </row>
    <row r="113" spans="1:13" s="29" customFormat="1" ht="35.1" customHeight="1" x14ac:dyDescent="0.3">
      <c r="A113" s="21"/>
      <c r="B113" s="22"/>
      <c r="C113" s="23"/>
      <c r="D113" s="193" t="s">
        <v>438</v>
      </c>
      <c r="E113" s="65">
        <f>(1.5-0.1)*1*2.5</f>
        <v>3.5</v>
      </c>
      <c r="F113" s="74" t="s">
        <v>17</v>
      </c>
      <c r="G113" s="27"/>
      <c r="H113" s="20"/>
      <c r="J113" s="134"/>
      <c r="K113" s="138"/>
      <c r="L113" s="134"/>
      <c r="M113" s="142"/>
    </row>
    <row r="114" spans="1:13" s="29" customFormat="1" ht="35.1" customHeight="1" x14ac:dyDescent="0.3">
      <c r="A114" s="21"/>
      <c r="B114" s="22"/>
      <c r="C114" s="23"/>
      <c r="D114" s="193" t="s">
        <v>442</v>
      </c>
      <c r="E114" s="65">
        <f t="shared" si="6"/>
        <v>2.75</v>
      </c>
      <c r="F114" s="74" t="s">
        <v>17</v>
      </c>
      <c r="G114" s="27"/>
      <c r="H114" s="20"/>
      <c r="J114" s="134"/>
      <c r="K114" s="138"/>
      <c r="L114" s="134"/>
      <c r="M114" s="142"/>
    </row>
    <row r="115" spans="1:13" s="29" customFormat="1" ht="35.1" customHeight="1" x14ac:dyDescent="0.3">
      <c r="A115" s="21"/>
      <c r="B115" s="22"/>
      <c r="C115" s="23"/>
      <c r="D115" s="193" t="s">
        <v>443</v>
      </c>
      <c r="E115" s="65">
        <f>(1.5-0.1)*1*3.5</f>
        <v>4.8999999999999995</v>
      </c>
      <c r="F115" s="74" t="s">
        <v>17</v>
      </c>
      <c r="G115" s="27"/>
      <c r="H115" s="20"/>
      <c r="J115" s="134"/>
      <c r="K115" s="138"/>
      <c r="L115" s="134"/>
      <c r="M115" s="142"/>
    </row>
    <row r="116" spans="1:13" s="29" customFormat="1" ht="35.1" customHeight="1" x14ac:dyDescent="0.3">
      <c r="A116" s="21"/>
      <c r="B116" s="22"/>
      <c r="C116" s="23"/>
      <c r="D116" s="193" t="s">
        <v>370</v>
      </c>
      <c r="E116" s="65">
        <f t="shared" si="6"/>
        <v>2.75</v>
      </c>
      <c r="F116" s="74" t="s">
        <v>17</v>
      </c>
      <c r="G116" s="27"/>
      <c r="H116" s="20"/>
      <c r="J116" s="134"/>
      <c r="K116" s="138"/>
      <c r="L116" s="134"/>
      <c r="M116" s="142"/>
    </row>
    <row r="117" spans="1:13" s="29" customFormat="1" ht="35.1" customHeight="1" x14ac:dyDescent="0.3">
      <c r="A117" s="21"/>
      <c r="B117" s="22"/>
      <c r="C117" s="23"/>
      <c r="D117" s="193" t="s">
        <v>475</v>
      </c>
      <c r="E117" s="65">
        <f>(1.5-0.1)*1*(3.5+1)</f>
        <v>6.3</v>
      </c>
      <c r="F117" s="74" t="s">
        <v>17</v>
      </c>
      <c r="G117" s="27"/>
      <c r="H117" s="20"/>
      <c r="J117" s="134"/>
      <c r="K117" s="138"/>
      <c r="L117" s="134"/>
      <c r="M117" s="142"/>
    </row>
    <row r="118" spans="1:13" s="29" customFormat="1" ht="35.1" customHeight="1" x14ac:dyDescent="0.3">
      <c r="A118" s="21"/>
      <c r="B118" s="22"/>
      <c r="C118" s="23"/>
      <c r="D118" s="193" t="s">
        <v>446</v>
      </c>
      <c r="E118" s="65">
        <f t="shared" si="6"/>
        <v>2.75</v>
      </c>
      <c r="F118" s="74" t="s">
        <v>17</v>
      </c>
      <c r="G118" s="27"/>
      <c r="H118" s="20"/>
      <c r="J118" s="134"/>
      <c r="K118" s="138"/>
      <c r="L118" s="134"/>
      <c r="M118" s="142"/>
    </row>
    <row r="119" spans="1:13" s="29" customFormat="1" ht="35.1" customHeight="1" x14ac:dyDescent="0.3">
      <c r="A119" s="21"/>
      <c r="B119" s="22"/>
      <c r="C119" s="23"/>
      <c r="D119" s="193" t="s">
        <v>444</v>
      </c>
      <c r="E119" s="65">
        <f>(1.5-0.1)*1*2.5</f>
        <v>3.5</v>
      </c>
      <c r="F119" s="74" t="s">
        <v>17</v>
      </c>
      <c r="G119" s="27"/>
      <c r="H119" s="20"/>
      <c r="J119" s="134"/>
      <c r="K119" s="138"/>
      <c r="L119" s="134"/>
      <c r="M119" s="142"/>
    </row>
    <row r="120" spans="1:13" s="29" customFormat="1" ht="35.1" customHeight="1" x14ac:dyDescent="0.3">
      <c r="A120" s="21"/>
      <c r="B120" s="22"/>
      <c r="C120" s="23"/>
      <c r="D120" s="193" t="s">
        <v>447</v>
      </c>
      <c r="E120" s="65">
        <f t="shared" si="6"/>
        <v>2.75</v>
      </c>
      <c r="F120" s="74" t="s">
        <v>17</v>
      </c>
      <c r="G120" s="27"/>
      <c r="H120" s="20"/>
      <c r="J120" s="134"/>
      <c r="K120" s="138"/>
      <c r="L120" s="134"/>
      <c r="M120" s="142"/>
    </row>
    <row r="121" spans="1:13" s="29" customFormat="1" ht="35.1" customHeight="1" x14ac:dyDescent="0.3">
      <c r="A121" s="21"/>
      <c r="B121" s="22"/>
      <c r="C121" s="23"/>
      <c r="D121" s="193" t="s">
        <v>476</v>
      </c>
      <c r="E121" s="65">
        <f>(1.5-0.1)*1*(3.5+1)</f>
        <v>6.3</v>
      </c>
      <c r="F121" s="74" t="s">
        <v>17</v>
      </c>
      <c r="G121" s="27"/>
      <c r="H121" s="20"/>
      <c r="J121" s="134"/>
      <c r="K121" s="138"/>
      <c r="L121" s="134"/>
      <c r="M121" s="142"/>
    </row>
    <row r="122" spans="1:13" s="29" customFormat="1" ht="35.1" customHeight="1" x14ac:dyDescent="0.3">
      <c r="A122" s="21"/>
      <c r="B122" s="22"/>
      <c r="C122" s="23"/>
      <c r="D122" s="193" t="s">
        <v>448</v>
      </c>
      <c r="E122" s="65">
        <f t="shared" si="6"/>
        <v>2.75</v>
      </c>
      <c r="F122" s="74" t="s">
        <v>17</v>
      </c>
      <c r="G122" s="27"/>
      <c r="H122" s="20"/>
      <c r="J122" s="134"/>
      <c r="K122" s="138"/>
      <c r="L122" s="134"/>
      <c r="M122" s="142"/>
    </row>
    <row r="123" spans="1:13" s="29" customFormat="1" ht="35.1" customHeight="1" x14ac:dyDescent="0.3">
      <c r="A123" s="21"/>
      <c r="B123" s="22"/>
      <c r="C123" s="23"/>
      <c r="D123" s="193" t="s">
        <v>477</v>
      </c>
      <c r="E123" s="65">
        <f>(1.5-0.1)*1*(3.5+1)</f>
        <v>6.3</v>
      </c>
      <c r="F123" s="74" t="s">
        <v>17</v>
      </c>
      <c r="G123" s="27"/>
      <c r="H123" s="20"/>
      <c r="J123" s="134"/>
      <c r="K123" s="138"/>
      <c r="L123" s="134"/>
      <c r="M123" s="142"/>
    </row>
    <row r="124" spans="1:13" s="29" customFormat="1" ht="35.1" customHeight="1" x14ac:dyDescent="0.3">
      <c r="A124" s="21"/>
      <c r="B124" s="22"/>
      <c r="C124" s="23"/>
      <c r="D124" s="193" t="s">
        <v>449</v>
      </c>
      <c r="E124" s="65">
        <f t="shared" si="6"/>
        <v>2.75</v>
      </c>
      <c r="F124" s="74" t="s">
        <v>17</v>
      </c>
      <c r="G124" s="27"/>
      <c r="H124" s="20"/>
      <c r="J124" s="134"/>
      <c r="K124" s="138"/>
      <c r="L124" s="134"/>
      <c r="M124" s="142"/>
    </row>
    <row r="125" spans="1:13" s="29" customFormat="1" ht="35.1" customHeight="1" x14ac:dyDescent="0.3">
      <c r="A125" s="21"/>
      <c r="B125" s="22"/>
      <c r="C125" s="23"/>
      <c r="D125" s="193" t="s">
        <v>478</v>
      </c>
      <c r="E125" s="65">
        <f>(1.5-0.1)*1*(3.5+1)</f>
        <v>6.3</v>
      </c>
      <c r="F125" s="74" t="s">
        <v>17</v>
      </c>
      <c r="G125" s="27"/>
      <c r="H125" s="20"/>
      <c r="J125" s="134"/>
      <c r="K125" s="138"/>
      <c r="L125" s="134"/>
      <c r="M125" s="142"/>
    </row>
    <row r="126" spans="1:13" s="29" customFormat="1" ht="35.1" customHeight="1" x14ac:dyDescent="0.3">
      <c r="A126" s="21"/>
      <c r="B126" s="22"/>
      <c r="C126" s="23"/>
      <c r="D126" s="193" t="s">
        <v>450</v>
      </c>
      <c r="E126" s="65">
        <f>(1.5-0.4)*1*2.5</f>
        <v>2.75</v>
      </c>
      <c r="F126" s="74" t="s">
        <v>17</v>
      </c>
      <c r="G126" s="27"/>
      <c r="H126" s="20"/>
      <c r="J126" s="134"/>
      <c r="K126" s="138"/>
      <c r="L126" s="134"/>
      <c r="M126" s="142"/>
    </row>
    <row r="127" spans="1:13" s="29" customFormat="1" ht="35.1" customHeight="1" x14ac:dyDescent="0.3">
      <c r="A127" s="21"/>
      <c r="B127" s="22"/>
      <c r="C127" s="23"/>
      <c r="D127" s="193" t="s">
        <v>445</v>
      </c>
      <c r="E127" s="65">
        <f>(1.5-0.1)*1*2.5</f>
        <v>3.5</v>
      </c>
      <c r="F127" s="74" t="s">
        <v>17</v>
      </c>
      <c r="G127" s="27"/>
      <c r="H127" s="20"/>
      <c r="J127" s="134"/>
      <c r="K127" s="138"/>
      <c r="L127" s="134"/>
      <c r="M127" s="142"/>
    </row>
    <row r="128" spans="1:13" s="29" customFormat="1" ht="35.1" customHeight="1" x14ac:dyDescent="0.3">
      <c r="A128" s="21"/>
      <c r="B128" s="22"/>
      <c r="C128" s="23"/>
      <c r="D128" s="243" t="s">
        <v>358</v>
      </c>
      <c r="E128" s="244">
        <f>SUM(E104:E127)</f>
        <v>93.199999999999989</v>
      </c>
      <c r="F128" s="245" t="s">
        <v>17</v>
      </c>
      <c r="G128" s="27"/>
      <c r="H128" s="20"/>
      <c r="J128" s="134"/>
      <c r="K128" s="138"/>
      <c r="L128" s="134"/>
      <c r="M128" s="142"/>
    </row>
    <row r="129" spans="1:13" s="29" customFormat="1" ht="35.1" customHeight="1" x14ac:dyDescent="0.3">
      <c r="A129" s="21"/>
      <c r="B129" s="22"/>
      <c r="C129" s="23"/>
      <c r="D129" s="24"/>
      <c r="E129" s="25"/>
      <c r="F129" s="26"/>
      <c r="G129" s="27"/>
      <c r="H129" s="20"/>
      <c r="J129" s="134"/>
      <c r="K129" s="138"/>
      <c r="L129" s="134"/>
      <c r="M129" s="142"/>
    </row>
    <row r="130" spans="1:13" s="29" customFormat="1" ht="35.1" customHeight="1" x14ac:dyDescent="0.3">
      <c r="A130" s="21"/>
      <c r="B130" s="22"/>
      <c r="C130" s="23"/>
      <c r="D130" s="16" t="s">
        <v>360</v>
      </c>
      <c r="E130" s="25"/>
      <c r="F130" s="26"/>
      <c r="G130" s="27"/>
      <c r="H130" s="20"/>
      <c r="J130" s="134"/>
      <c r="K130" s="138"/>
      <c r="L130" s="134"/>
      <c r="M130" s="142"/>
    </row>
    <row r="131" spans="1:13" s="29" customFormat="1" ht="35.1" customHeight="1" x14ac:dyDescent="0.3">
      <c r="A131" s="21"/>
      <c r="B131" s="22"/>
      <c r="C131" s="23"/>
      <c r="D131" s="193" t="s">
        <v>451</v>
      </c>
      <c r="E131" s="65">
        <f>(1.5-0.4)*1*3.5</f>
        <v>3.8500000000000005</v>
      </c>
      <c r="F131" s="74" t="s">
        <v>17</v>
      </c>
      <c r="G131" s="27"/>
      <c r="H131" s="20"/>
      <c r="J131" s="134"/>
      <c r="K131" s="138"/>
      <c r="L131" s="134"/>
      <c r="M131" s="142"/>
    </row>
    <row r="132" spans="1:13" s="29" customFormat="1" ht="35.1" customHeight="1" x14ac:dyDescent="0.3">
      <c r="A132" s="21"/>
      <c r="B132" s="22"/>
      <c r="C132" s="23"/>
      <c r="D132" s="193" t="s">
        <v>452</v>
      </c>
      <c r="E132" s="65">
        <f>(1.5-0.1)*1*2.5</f>
        <v>3.5</v>
      </c>
      <c r="F132" s="74" t="s">
        <v>17</v>
      </c>
      <c r="G132" s="27"/>
      <c r="H132" s="20"/>
      <c r="J132" s="134"/>
      <c r="K132" s="138"/>
      <c r="L132" s="134"/>
      <c r="M132" s="142"/>
    </row>
    <row r="133" spans="1:13" s="29" customFormat="1" ht="35.1" customHeight="1" x14ac:dyDescent="0.3">
      <c r="A133" s="21"/>
      <c r="B133" s="22"/>
      <c r="C133" s="23"/>
      <c r="D133" s="193" t="s">
        <v>453</v>
      </c>
      <c r="E133" s="65">
        <f t="shared" ref="E133:E155" si="7">(1.5-0.4)*1*3.5</f>
        <v>3.8500000000000005</v>
      </c>
      <c r="F133" s="74" t="s">
        <v>17</v>
      </c>
      <c r="G133" s="27"/>
      <c r="H133" s="20"/>
      <c r="J133" s="134"/>
      <c r="K133" s="138"/>
      <c r="L133" s="134"/>
      <c r="M133" s="142"/>
    </row>
    <row r="134" spans="1:13" s="29" customFormat="1" ht="35.1" customHeight="1" x14ac:dyDescent="0.3">
      <c r="A134" s="21"/>
      <c r="B134" s="22"/>
      <c r="C134" s="23"/>
      <c r="D134" s="193" t="s">
        <v>479</v>
      </c>
      <c r="E134" s="65">
        <f>(1.5-0.1)*1*(3.5+1)</f>
        <v>6.3</v>
      </c>
      <c r="F134" s="74" t="s">
        <v>17</v>
      </c>
      <c r="G134" s="27"/>
      <c r="H134" s="20"/>
      <c r="J134" s="134"/>
      <c r="K134" s="138"/>
      <c r="L134" s="134"/>
      <c r="M134" s="142"/>
    </row>
    <row r="135" spans="1:13" s="29" customFormat="1" ht="35.1" customHeight="1" x14ac:dyDescent="0.3">
      <c r="A135" s="21"/>
      <c r="B135" s="22"/>
      <c r="C135" s="23"/>
      <c r="D135" s="193" t="s">
        <v>454</v>
      </c>
      <c r="E135" s="65">
        <f t="shared" si="7"/>
        <v>3.8500000000000005</v>
      </c>
      <c r="F135" s="74" t="s">
        <v>17</v>
      </c>
      <c r="G135" s="27"/>
      <c r="H135" s="20"/>
      <c r="J135" s="134"/>
      <c r="K135" s="138"/>
      <c r="L135" s="134"/>
      <c r="M135" s="142"/>
    </row>
    <row r="136" spans="1:13" s="29" customFormat="1" ht="35.1" customHeight="1" x14ac:dyDescent="0.3">
      <c r="A136" s="21"/>
      <c r="B136" s="22"/>
      <c r="C136" s="23"/>
      <c r="D136" s="193" t="s">
        <v>455</v>
      </c>
      <c r="E136" s="65">
        <f>(1.5-0.1)*1*2.5</f>
        <v>3.5</v>
      </c>
      <c r="F136" s="74" t="s">
        <v>17</v>
      </c>
      <c r="G136" s="27"/>
      <c r="H136" s="20"/>
      <c r="J136" s="134"/>
      <c r="K136" s="138"/>
      <c r="L136" s="134"/>
      <c r="M136" s="142"/>
    </row>
    <row r="137" spans="1:13" s="29" customFormat="1" ht="35.1" customHeight="1" x14ac:dyDescent="0.3">
      <c r="A137" s="21"/>
      <c r="B137" s="22"/>
      <c r="C137" s="23"/>
      <c r="D137" s="193" t="s">
        <v>457</v>
      </c>
      <c r="E137" s="65">
        <f t="shared" si="7"/>
        <v>3.8500000000000005</v>
      </c>
      <c r="F137" s="74" t="s">
        <v>17</v>
      </c>
      <c r="G137" s="27"/>
      <c r="H137" s="20"/>
      <c r="J137" s="134"/>
      <c r="K137" s="138"/>
      <c r="L137" s="134"/>
      <c r="M137" s="142"/>
    </row>
    <row r="138" spans="1:13" s="29" customFormat="1" ht="35.1" customHeight="1" x14ac:dyDescent="0.3">
      <c r="A138" s="21"/>
      <c r="B138" s="22"/>
      <c r="C138" s="23"/>
      <c r="D138" s="193" t="s">
        <v>456</v>
      </c>
      <c r="E138" s="65">
        <f>(1.5-0.1)*1*2.5</f>
        <v>3.5</v>
      </c>
      <c r="F138" s="74" t="s">
        <v>17</v>
      </c>
      <c r="G138" s="27"/>
      <c r="H138" s="20"/>
      <c r="J138" s="134"/>
      <c r="K138" s="138"/>
      <c r="L138" s="134"/>
      <c r="M138" s="142"/>
    </row>
    <row r="139" spans="1:13" s="29" customFormat="1" ht="35.1" customHeight="1" x14ac:dyDescent="0.3">
      <c r="A139" s="21"/>
      <c r="B139" s="22"/>
      <c r="C139" s="23"/>
      <c r="D139" s="193" t="s">
        <v>466</v>
      </c>
      <c r="E139" s="65">
        <f t="shared" si="7"/>
        <v>3.8500000000000005</v>
      </c>
      <c r="F139" s="74" t="s">
        <v>17</v>
      </c>
      <c r="G139" s="27"/>
      <c r="H139" s="20"/>
      <c r="J139" s="134"/>
      <c r="K139" s="138"/>
      <c r="L139" s="134"/>
      <c r="M139" s="142"/>
    </row>
    <row r="140" spans="1:13" s="29" customFormat="1" ht="35.1" customHeight="1" x14ac:dyDescent="0.3">
      <c r="A140" s="21"/>
      <c r="B140" s="22"/>
      <c r="C140" s="23"/>
      <c r="D140" s="193" t="s">
        <v>480</v>
      </c>
      <c r="E140" s="65">
        <f>(1.5-0.1)*1*(3.5+1)</f>
        <v>6.3</v>
      </c>
      <c r="F140" s="74" t="s">
        <v>17</v>
      </c>
      <c r="G140" s="27"/>
      <c r="H140" s="20"/>
      <c r="J140" s="134"/>
      <c r="K140" s="138"/>
      <c r="L140" s="134"/>
      <c r="M140" s="142"/>
    </row>
    <row r="141" spans="1:13" s="29" customFormat="1" ht="35.1" customHeight="1" x14ac:dyDescent="0.3">
      <c r="A141" s="21"/>
      <c r="B141" s="22"/>
      <c r="C141" s="23"/>
      <c r="D141" s="193" t="s">
        <v>465</v>
      </c>
      <c r="E141" s="65">
        <f t="shared" si="7"/>
        <v>3.8500000000000005</v>
      </c>
      <c r="F141" s="74" t="s">
        <v>17</v>
      </c>
      <c r="G141" s="27"/>
      <c r="H141" s="20"/>
      <c r="J141" s="134"/>
      <c r="K141" s="138"/>
      <c r="L141" s="134"/>
      <c r="M141" s="142"/>
    </row>
    <row r="142" spans="1:13" s="29" customFormat="1" ht="35.1" customHeight="1" x14ac:dyDescent="0.3">
      <c r="A142" s="21"/>
      <c r="B142" s="22"/>
      <c r="C142" s="23"/>
      <c r="D142" s="193" t="s">
        <v>458</v>
      </c>
      <c r="E142" s="65">
        <f>(1.5-0.1)*1*2.5</f>
        <v>3.5</v>
      </c>
      <c r="F142" s="74" t="s">
        <v>17</v>
      </c>
      <c r="G142" s="27"/>
      <c r="H142" s="20"/>
      <c r="J142" s="134"/>
      <c r="K142" s="138"/>
      <c r="L142" s="134"/>
      <c r="M142" s="142"/>
    </row>
    <row r="143" spans="1:13" s="29" customFormat="1" ht="35.1" customHeight="1" x14ac:dyDescent="0.3">
      <c r="A143" s="21"/>
      <c r="B143" s="22"/>
      <c r="C143" s="23"/>
      <c r="D143" s="193" t="s">
        <v>464</v>
      </c>
      <c r="E143" s="65">
        <f t="shared" si="7"/>
        <v>3.8500000000000005</v>
      </c>
      <c r="F143" s="74" t="s">
        <v>17</v>
      </c>
      <c r="G143" s="27"/>
      <c r="H143" s="20"/>
      <c r="J143" s="134"/>
      <c r="K143" s="138"/>
      <c r="L143" s="134"/>
      <c r="M143" s="142"/>
    </row>
    <row r="144" spans="1:13" s="29" customFormat="1" ht="35.1" customHeight="1" x14ac:dyDescent="0.3">
      <c r="A144" s="21"/>
      <c r="B144" s="22"/>
      <c r="C144" s="23"/>
      <c r="D144" s="193" t="s">
        <v>481</v>
      </c>
      <c r="E144" s="65">
        <f>(1.5-0.1)*1*(3.5+1)</f>
        <v>6.3</v>
      </c>
      <c r="F144" s="74" t="s">
        <v>17</v>
      </c>
      <c r="G144" s="27"/>
      <c r="H144" s="20"/>
      <c r="J144" s="134"/>
      <c r="K144" s="138"/>
      <c r="L144" s="134"/>
      <c r="M144" s="142"/>
    </row>
    <row r="145" spans="1:13" s="29" customFormat="1" ht="35.1" customHeight="1" x14ac:dyDescent="0.3">
      <c r="A145" s="21"/>
      <c r="B145" s="22"/>
      <c r="C145" s="23"/>
      <c r="D145" s="193" t="s">
        <v>463</v>
      </c>
      <c r="E145" s="65">
        <f t="shared" si="7"/>
        <v>3.8500000000000005</v>
      </c>
      <c r="F145" s="74" t="s">
        <v>17</v>
      </c>
      <c r="G145" s="27"/>
      <c r="H145" s="20"/>
      <c r="J145" s="134"/>
      <c r="K145" s="138"/>
      <c r="L145" s="134"/>
      <c r="M145" s="142"/>
    </row>
    <row r="146" spans="1:13" s="29" customFormat="1" ht="35.1" customHeight="1" x14ac:dyDescent="0.3">
      <c r="A146" s="21"/>
      <c r="B146" s="22"/>
      <c r="C146" s="23"/>
      <c r="D146" s="193" t="s">
        <v>459</v>
      </c>
      <c r="E146" s="65">
        <f>(1.5-0.1)*1*2.5</f>
        <v>3.5</v>
      </c>
      <c r="F146" s="74" t="s">
        <v>17</v>
      </c>
      <c r="G146" s="27"/>
      <c r="H146" s="20"/>
      <c r="J146" s="134"/>
      <c r="K146" s="138"/>
      <c r="L146" s="134"/>
      <c r="M146" s="142"/>
    </row>
    <row r="147" spans="1:13" s="29" customFormat="1" ht="35.1" customHeight="1" x14ac:dyDescent="0.3">
      <c r="A147" s="21"/>
      <c r="B147" s="22"/>
      <c r="C147" s="23"/>
      <c r="D147" s="193" t="s">
        <v>462</v>
      </c>
      <c r="E147" s="65">
        <f t="shared" si="7"/>
        <v>3.8500000000000005</v>
      </c>
      <c r="F147" s="74" t="s">
        <v>17</v>
      </c>
      <c r="G147" s="27"/>
      <c r="H147" s="20"/>
      <c r="J147" s="134"/>
      <c r="K147" s="138"/>
      <c r="L147" s="134"/>
      <c r="M147" s="142"/>
    </row>
    <row r="148" spans="1:13" s="29" customFormat="1" ht="35.1" customHeight="1" x14ac:dyDescent="0.3">
      <c r="A148" s="21"/>
      <c r="B148" s="22"/>
      <c r="C148" s="23"/>
      <c r="D148" s="193" t="s">
        <v>482</v>
      </c>
      <c r="E148" s="65">
        <f>(1.5-0.1)*1*(3.5+1)</f>
        <v>6.3</v>
      </c>
      <c r="F148" s="74" t="s">
        <v>17</v>
      </c>
      <c r="G148" s="27"/>
      <c r="H148" s="20"/>
      <c r="J148" s="134"/>
      <c r="K148" s="138"/>
      <c r="L148" s="134"/>
      <c r="M148" s="142"/>
    </row>
    <row r="149" spans="1:13" s="29" customFormat="1" ht="35.1" customHeight="1" x14ac:dyDescent="0.3">
      <c r="A149" s="21"/>
      <c r="B149" s="22"/>
      <c r="C149" s="23"/>
      <c r="D149" s="193" t="s">
        <v>461</v>
      </c>
      <c r="E149" s="65">
        <f t="shared" si="7"/>
        <v>3.8500000000000005</v>
      </c>
      <c r="F149" s="74" t="s">
        <v>17</v>
      </c>
      <c r="G149" s="27"/>
      <c r="H149" s="20"/>
      <c r="J149" s="134"/>
      <c r="K149" s="138"/>
      <c r="L149" s="134"/>
      <c r="M149" s="142"/>
    </row>
    <row r="150" spans="1:13" s="29" customFormat="1" ht="35.1" customHeight="1" x14ac:dyDescent="0.3">
      <c r="A150" s="21"/>
      <c r="B150" s="22"/>
      <c r="C150" s="23"/>
      <c r="D150" s="193" t="s">
        <v>460</v>
      </c>
      <c r="E150" s="65">
        <f>(1.5-0.1)*1*2.5</f>
        <v>3.5</v>
      </c>
      <c r="F150" s="74" t="s">
        <v>17</v>
      </c>
      <c r="G150" s="27"/>
      <c r="H150" s="20"/>
      <c r="J150" s="134"/>
      <c r="K150" s="138"/>
      <c r="L150" s="134"/>
      <c r="M150" s="142"/>
    </row>
    <row r="151" spans="1:13" s="29" customFormat="1" ht="35.1" customHeight="1" x14ac:dyDescent="0.3">
      <c r="A151" s="21"/>
      <c r="B151" s="22"/>
      <c r="C151" s="23"/>
      <c r="D151" s="193" t="s">
        <v>468</v>
      </c>
      <c r="E151" s="65">
        <f t="shared" si="7"/>
        <v>3.8500000000000005</v>
      </c>
      <c r="F151" s="74" t="s">
        <v>17</v>
      </c>
      <c r="G151" s="27"/>
      <c r="H151" s="20"/>
      <c r="J151" s="134"/>
      <c r="K151" s="138"/>
      <c r="L151" s="134"/>
      <c r="M151" s="142"/>
    </row>
    <row r="152" spans="1:13" s="29" customFormat="1" ht="35.1" customHeight="1" x14ac:dyDescent="0.3">
      <c r="A152" s="21"/>
      <c r="B152" s="22"/>
      <c r="C152" s="23"/>
      <c r="D152" s="193" t="s">
        <v>467</v>
      </c>
      <c r="E152" s="65">
        <f>(1.5-0.1)*1*2.5</f>
        <v>3.5</v>
      </c>
      <c r="F152" s="74" t="s">
        <v>17</v>
      </c>
      <c r="G152" s="27"/>
      <c r="H152" s="20"/>
      <c r="J152" s="134"/>
      <c r="K152" s="138"/>
      <c r="L152" s="134"/>
      <c r="M152" s="142"/>
    </row>
    <row r="153" spans="1:13" s="29" customFormat="1" ht="35.1" customHeight="1" x14ac:dyDescent="0.3">
      <c r="A153" s="21"/>
      <c r="B153" s="22"/>
      <c r="C153" s="23"/>
      <c r="D153" s="193" t="s">
        <v>469</v>
      </c>
      <c r="E153" s="65">
        <f t="shared" si="7"/>
        <v>3.8500000000000005</v>
      </c>
      <c r="F153" s="74" t="s">
        <v>17</v>
      </c>
      <c r="G153" s="27"/>
      <c r="H153" s="20"/>
      <c r="J153" s="134"/>
      <c r="K153" s="138"/>
      <c r="L153" s="134"/>
      <c r="M153" s="142"/>
    </row>
    <row r="154" spans="1:13" s="29" customFormat="1" ht="35.1" customHeight="1" x14ac:dyDescent="0.3">
      <c r="A154" s="21"/>
      <c r="B154" s="22"/>
      <c r="C154" s="23"/>
      <c r="D154" s="193" t="s">
        <v>483</v>
      </c>
      <c r="E154" s="65">
        <f>(1.5-0.1)*1*(3.5+1)</f>
        <v>6.3</v>
      </c>
      <c r="F154" s="74" t="s">
        <v>17</v>
      </c>
      <c r="G154" s="27"/>
      <c r="H154" s="20"/>
      <c r="J154" s="134"/>
      <c r="K154" s="138"/>
      <c r="L154" s="134"/>
      <c r="M154" s="142"/>
    </row>
    <row r="155" spans="1:13" s="29" customFormat="1" ht="35.1" customHeight="1" x14ac:dyDescent="0.3">
      <c r="A155" s="21"/>
      <c r="B155" s="22"/>
      <c r="C155" s="23"/>
      <c r="D155" s="193" t="s">
        <v>471</v>
      </c>
      <c r="E155" s="65">
        <f t="shared" si="7"/>
        <v>3.8500000000000005</v>
      </c>
      <c r="F155" s="74" t="s">
        <v>17</v>
      </c>
      <c r="G155" s="27"/>
      <c r="H155" s="20"/>
      <c r="J155" s="134"/>
      <c r="K155" s="138"/>
      <c r="L155" s="134"/>
      <c r="M155" s="142"/>
    </row>
    <row r="156" spans="1:13" s="29" customFormat="1" ht="35.1" customHeight="1" x14ac:dyDescent="0.3">
      <c r="A156" s="21"/>
      <c r="B156" s="22"/>
      <c r="C156" s="23"/>
      <c r="D156" s="193" t="s">
        <v>484</v>
      </c>
      <c r="E156" s="65">
        <f>(1.5-0.1)*1*(3.5+1)</f>
        <v>6.3</v>
      </c>
      <c r="F156" s="74" t="s">
        <v>17</v>
      </c>
      <c r="G156" s="27"/>
      <c r="H156" s="20"/>
      <c r="J156" s="134"/>
      <c r="K156" s="138"/>
      <c r="L156" s="134"/>
      <c r="M156" s="142"/>
    </row>
    <row r="157" spans="1:13" s="29" customFormat="1" ht="35.1" customHeight="1" x14ac:dyDescent="0.3">
      <c r="A157" s="21"/>
      <c r="B157" s="22"/>
      <c r="C157" s="23"/>
      <c r="D157" s="193" t="s">
        <v>472</v>
      </c>
      <c r="E157" s="65">
        <f>(1.5-0.4)*1*3.5</f>
        <v>3.8500000000000005</v>
      </c>
      <c r="F157" s="74" t="s">
        <v>17</v>
      </c>
      <c r="G157" s="27"/>
      <c r="H157" s="20"/>
      <c r="J157" s="134"/>
      <c r="K157" s="138"/>
      <c r="L157" s="134"/>
      <c r="M157" s="142"/>
    </row>
    <row r="158" spans="1:13" s="29" customFormat="1" ht="35.1" customHeight="1" x14ac:dyDescent="0.3">
      <c r="A158" s="21"/>
      <c r="B158" s="22"/>
      <c r="C158" s="23"/>
      <c r="D158" s="193" t="s">
        <v>470</v>
      </c>
      <c r="E158" s="65">
        <f>(1.5-0.1)*1*2.5</f>
        <v>3.5</v>
      </c>
      <c r="F158" s="74" t="s">
        <v>17</v>
      </c>
      <c r="G158" s="27"/>
      <c r="H158" s="20"/>
      <c r="J158" s="134"/>
      <c r="K158" s="138"/>
      <c r="L158" s="134"/>
      <c r="M158" s="142"/>
    </row>
    <row r="159" spans="1:13" s="29" customFormat="1" ht="35.1" customHeight="1" x14ac:dyDescent="0.3">
      <c r="A159" s="21"/>
      <c r="B159" s="22"/>
      <c r="C159" s="23"/>
      <c r="D159" s="243" t="s">
        <v>361</v>
      </c>
      <c r="E159" s="244">
        <f>SUM(E131:E158)</f>
        <v>119.69999999999996</v>
      </c>
      <c r="F159" s="245" t="s">
        <v>17</v>
      </c>
      <c r="G159" s="27"/>
      <c r="H159" s="20"/>
      <c r="J159" s="134"/>
      <c r="K159" s="138"/>
      <c r="L159" s="134"/>
      <c r="M159" s="142"/>
    </row>
    <row r="160" spans="1:13" s="29" customFormat="1" ht="35.1" customHeight="1" x14ac:dyDescent="0.3">
      <c r="A160" s="21"/>
      <c r="B160" s="22"/>
      <c r="C160" s="23"/>
      <c r="D160" s="243"/>
      <c r="E160" s="244"/>
      <c r="F160" s="245"/>
      <c r="G160" s="27"/>
      <c r="H160" s="20"/>
      <c r="J160" s="134"/>
      <c r="K160" s="138"/>
      <c r="L160" s="134"/>
      <c r="M160" s="142"/>
    </row>
    <row r="161" spans="1:13" s="29" customFormat="1" ht="35.1" customHeight="1" x14ac:dyDescent="0.3">
      <c r="A161" s="21"/>
      <c r="B161" s="22"/>
      <c r="C161" s="23"/>
      <c r="D161" s="24" t="s">
        <v>428</v>
      </c>
      <c r="E161" s="25"/>
      <c r="F161" s="26"/>
      <c r="G161" s="27"/>
      <c r="H161" s="20"/>
      <c r="J161" s="134"/>
      <c r="K161" s="138"/>
      <c r="L161" s="134"/>
      <c r="M161" s="142"/>
    </row>
    <row r="162" spans="1:13" s="29" customFormat="1" ht="35.1" customHeight="1" x14ac:dyDescent="0.3">
      <c r="A162" s="21"/>
      <c r="B162" s="22"/>
      <c r="C162" s="23"/>
      <c r="D162" s="24" t="s">
        <v>371</v>
      </c>
      <c r="E162" s="25">
        <f>2*(1.5-0.4)*1*6</f>
        <v>13.200000000000001</v>
      </c>
      <c r="F162" s="26" t="s">
        <v>17</v>
      </c>
      <c r="G162" s="27"/>
      <c r="H162" s="20"/>
      <c r="J162" s="134"/>
      <c r="K162" s="138"/>
      <c r="L162" s="134"/>
      <c r="M162" s="142"/>
    </row>
    <row r="163" spans="1:13" s="29" customFormat="1" ht="35.1" customHeight="1" x14ac:dyDescent="0.3">
      <c r="A163" s="21"/>
      <c r="B163" s="22"/>
      <c r="C163" s="23"/>
      <c r="D163" s="243" t="s">
        <v>369</v>
      </c>
      <c r="E163" s="244">
        <f>SUM(E162)</f>
        <v>13.200000000000001</v>
      </c>
      <c r="F163" s="245" t="s">
        <v>17</v>
      </c>
      <c r="G163" s="27"/>
      <c r="H163" s="20"/>
      <c r="J163" s="134"/>
      <c r="K163" s="138"/>
      <c r="L163" s="134"/>
      <c r="M163" s="142"/>
    </row>
    <row r="164" spans="1:13" s="29" customFormat="1" ht="35.1" customHeight="1" x14ac:dyDescent="0.3">
      <c r="A164" s="21"/>
      <c r="B164" s="22"/>
      <c r="C164" s="23"/>
      <c r="D164" s="243" t="s">
        <v>362</v>
      </c>
      <c r="E164" s="244">
        <f>E101+E128+E159+E163</f>
        <v>359.2</v>
      </c>
      <c r="F164" s="245" t="s">
        <v>17</v>
      </c>
      <c r="G164" s="27"/>
      <c r="H164" s="20"/>
      <c r="J164" s="134"/>
      <c r="K164" s="138"/>
      <c r="L164" s="134"/>
      <c r="M164" s="142"/>
    </row>
    <row r="165" spans="1:13" s="29" customFormat="1" ht="35.1" customHeight="1" x14ac:dyDescent="0.3">
      <c r="A165" s="21"/>
      <c r="B165" s="22"/>
      <c r="C165" s="23"/>
      <c r="D165" s="24"/>
      <c r="E165" s="25"/>
      <c r="F165" s="26"/>
      <c r="G165" s="27"/>
      <c r="H165" s="20"/>
      <c r="J165" s="134"/>
      <c r="K165" s="138"/>
      <c r="L165" s="134"/>
      <c r="M165" s="142"/>
    </row>
    <row r="166" spans="1:13" s="29" customFormat="1" ht="35.1" customHeight="1" x14ac:dyDescent="0.3">
      <c r="A166" s="21"/>
      <c r="B166" s="22"/>
      <c r="C166" s="23"/>
      <c r="D166" s="24" t="s">
        <v>430</v>
      </c>
      <c r="E166" s="25"/>
      <c r="F166" s="26"/>
      <c r="G166" s="27"/>
      <c r="H166" s="20"/>
      <c r="J166" s="134"/>
      <c r="K166" s="138"/>
      <c r="L166" s="134"/>
      <c r="M166" s="142"/>
    </row>
    <row r="167" spans="1:13" s="29" customFormat="1" ht="35.1" customHeight="1" x14ac:dyDescent="0.3">
      <c r="A167" s="21"/>
      <c r="B167" s="22"/>
      <c r="C167" s="23"/>
      <c r="D167" s="24" t="s">
        <v>429</v>
      </c>
      <c r="E167" s="25">
        <f>(1.7-0.4)*0.7*(116-6)</f>
        <v>100.09999999999998</v>
      </c>
      <c r="F167" s="26" t="s">
        <v>17</v>
      </c>
      <c r="G167" s="27"/>
      <c r="H167" s="20"/>
      <c r="J167" s="134"/>
      <c r="K167" s="138"/>
      <c r="L167" s="134"/>
      <c r="M167" s="142"/>
    </row>
    <row r="168" spans="1:13" s="29" customFormat="1" ht="35.1" customHeight="1" x14ac:dyDescent="0.3">
      <c r="A168" s="21"/>
      <c r="B168" s="22"/>
      <c r="C168" s="23"/>
      <c r="D168" s="246" t="s">
        <v>367</v>
      </c>
      <c r="E168" s="247">
        <f>SUM(E167)</f>
        <v>100.09999999999998</v>
      </c>
      <c r="F168" s="248" t="s">
        <v>17</v>
      </c>
      <c r="G168" s="27"/>
      <c r="H168" s="20"/>
      <c r="J168" s="134"/>
      <c r="K168" s="138"/>
      <c r="L168" s="134"/>
      <c r="M168" s="142"/>
    </row>
    <row r="169" spans="1:13" s="29" customFormat="1" ht="35.1" customHeight="1" x14ac:dyDescent="0.3">
      <c r="A169" s="21"/>
      <c r="B169" s="22"/>
      <c r="C169" s="23"/>
      <c r="D169" s="243"/>
      <c r="E169" s="244"/>
      <c r="F169" s="245"/>
      <c r="G169" s="27"/>
      <c r="H169" s="20"/>
      <c r="J169" s="134"/>
      <c r="K169" s="138"/>
      <c r="L169" s="134"/>
      <c r="M169" s="142"/>
    </row>
    <row r="170" spans="1:13" s="29" customFormat="1" ht="35.1" customHeight="1" x14ac:dyDescent="0.3">
      <c r="A170" s="21"/>
      <c r="B170" s="22"/>
      <c r="C170" s="23"/>
      <c r="D170" s="16" t="s">
        <v>363</v>
      </c>
      <c r="E170" s="244"/>
      <c r="F170" s="245"/>
      <c r="G170" s="27"/>
      <c r="H170" s="20"/>
      <c r="J170" s="134"/>
      <c r="K170" s="138"/>
      <c r="L170" s="134"/>
      <c r="M170" s="142"/>
    </row>
    <row r="171" spans="1:13" s="29" customFormat="1" ht="35.1" customHeight="1" x14ac:dyDescent="0.3">
      <c r="A171" s="21"/>
      <c r="B171" s="22"/>
      <c r="C171" s="23"/>
      <c r="D171" s="16" t="s">
        <v>357</v>
      </c>
      <c r="E171" s="65"/>
      <c r="F171" s="74"/>
      <c r="G171" s="27"/>
      <c r="H171" s="20"/>
      <c r="J171" s="134"/>
      <c r="K171" s="138"/>
      <c r="L171" s="134"/>
      <c r="M171" s="142"/>
    </row>
    <row r="172" spans="1:13" s="29" customFormat="1" ht="35.1" customHeight="1" x14ac:dyDescent="0.3">
      <c r="A172" s="21"/>
      <c r="B172" s="22"/>
      <c r="C172" s="23"/>
      <c r="D172" s="16" t="s">
        <v>417</v>
      </c>
      <c r="E172" s="65">
        <f>1*3.5*0</f>
        <v>0</v>
      </c>
      <c r="F172" s="74" t="s">
        <v>17</v>
      </c>
      <c r="G172" s="27"/>
      <c r="H172" s="20"/>
      <c r="J172" s="134"/>
      <c r="K172" s="138"/>
      <c r="L172" s="134"/>
      <c r="M172" s="142"/>
    </row>
    <row r="173" spans="1:13" s="29" customFormat="1" ht="35.1" customHeight="1" x14ac:dyDescent="0.3">
      <c r="A173" s="21"/>
      <c r="B173" s="22"/>
      <c r="C173" s="23"/>
      <c r="D173" s="16" t="s">
        <v>552</v>
      </c>
      <c r="E173" s="65">
        <f>(1.5-0.4)*1*2.5</f>
        <v>2.75</v>
      </c>
      <c r="F173" s="74" t="s">
        <v>17</v>
      </c>
      <c r="G173" s="27"/>
      <c r="H173" s="20"/>
      <c r="J173" s="134"/>
      <c r="K173" s="138"/>
      <c r="L173" s="134"/>
      <c r="M173" s="142"/>
    </row>
    <row r="174" spans="1:13" s="29" customFormat="1" ht="35.1" customHeight="1" x14ac:dyDescent="0.3">
      <c r="A174" s="21"/>
      <c r="B174" s="22"/>
      <c r="C174" s="23"/>
      <c r="D174" s="16" t="s">
        <v>690</v>
      </c>
      <c r="E174" s="65">
        <f>(1.5-0.1)*1*2.5</f>
        <v>3.5</v>
      </c>
      <c r="F174" s="74" t="s">
        <v>17</v>
      </c>
      <c r="G174" s="27"/>
      <c r="H174" s="20"/>
      <c r="J174" s="134"/>
      <c r="K174" s="138"/>
      <c r="L174" s="134"/>
      <c r="M174" s="142"/>
    </row>
    <row r="175" spans="1:13" s="29" customFormat="1" ht="35.1" customHeight="1" x14ac:dyDescent="0.3">
      <c r="A175" s="21"/>
      <c r="B175" s="22"/>
      <c r="C175" s="23"/>
      <c r="D175" s="16" t="s">
        <v>553</v>
      </c>
      <c r="E175" s="65">
        <f t="shared" ref="E175:E187" si="8">(1.5-0.4)*1*2.5</f>
        <v>2.75</v>
      </c>
      <c r="F175" s="74" t="s">
        <v>17</v>
      </c>
      <c r="G175" s="27"/>
      <c r="H175" s="20"/>
      <c r="J175" s="134"/>
      <c r="K175" s="138"/>
      <c r="L175" s="134"/>
      <c r="M175" s="142"/>
    </row>
    <row r="176" spans="1:13" s="29" customFormat="1" ht="35.1" customHeight="1" x14ac:dyDescent="0.3">
      <c r="A176" s="21"/>
      <c r="B176" s="22"/>
      <c r="C176" s="23"/>
      <c r="D176" s="16" t="s">
        <v>691</v>
      </c>
      <c r="E176" s="65">
        <f>(1.5-0.1)*1*2.5</f>
        <v>3.5</v>
      </c>
      <c r="F176" s="74" t="s">
        <v>17</v>
      </c>
      <c r="G176" s="27"/>
      <c r="H176" s="20"/>
      <c r="J176" s="134"/>
      <c r="K176" s="138"/>
      <c r="L176" s="134"/>
      <c r="M176" s="142"/>
    </row>
    <row r="177" spans="1:13" s="29" customFormat="1" ht="35.1" customHeight="1" x14ac:dyDescent="0.3">
      <c r="A177" s="21"/>
      <c r="B177" s="22"/>
      <c r="C177" s="23"/>
      <c r="D177" s="16" t="s">
        <v>554</v>
      </c>
      <c r="E177" s="65">
        <f t="shared" si="8"/>
        <v>2.75</v>
      </c>
      <c r="F177" s="74" t="s">
        <v>17</v>
      </c>
      <c r="G177" s="27"/>
      <c r="H177" s="20"/>
      <c r="J177" s="134"/>
      <c r="K177" s="138"/>
      <c r="L177" s="134"/>
      <c r="M177" s="142"/>
    </row>
    <row r="178" spans="1:13" s="29" customFormat="1" ht="35.1" customHeight="1" x14ac:dyDescent="0.3">
      <c r="A178" s="21"/>
      <c r="B178" s="22"/>
      <c r="C178" s="23"/>
      <c r="D178" s="16" t="s">
        <v>692</v>
      </c>
      <c r="E178" s="65">
        <f>(1.5-0.1)*1*2.5</f>
        <v>3.5</v>
      </c>
      <c r="F178" s="74" t="s">
        <v>17</v>
      </c>
      <c r="G178" s="27"/>
      <c r="H178" s="20"/>
      <c r="J178" s="134"/>
      <c r="K178" s="138"/>
      <c r="L178" s="134"/>
      <c r="M178" s="142"/>
    </row>
    <row r="179" spans="1:13" s="29" customFormat="1" ht="35.1" customHeight="1" x14ac:dyDescent="0.3">
      <c r="A179" s="21"/>
      <c r="B179" s="22"/>
      <c r="C179" s="23"/>
      <c r="D179" s="16" t="s">
        <v>555</v>
      </c>
      <c r="E179" s="65">
        <f t="shared" si="8"/>
        <v>2.75</v>
      </c>
      <c r="F179" s="74" t="s">
        <v>17</v>
      </c>
      <c r="G179" s="27"/>
      <c r="H179" s="20"/>
      <c r="J179" s="134"/>
      <c r="K179" s="138"/>
      <c r="L179" s="134"/>
      <c r="M179" s="142"/>
    </row>
    <row r="180" spans="1:13" s="29" customFormat="1" ht="35.1" customHeight="1" x14ac:dyDescent="0.3">
      <c r="A180" s="21"/>
      <c r="B180" s="22"/>
      <c r="C180" s="23"/>
      <c r="D180" s="16" t="s">
        <v>693</v>
      </c>
      <c r="E180" s="65">
        <f>(1.5-0.1)*1*2.5</f>
        <v>3.5</v>
      </c>
      <c r="F180" s="74" t="s">
        <v>17</v>
      </c>
      <c r="G180" s="27"/>
      <c r="H180" s="20"/>
      <c r="J180" s="134"/>
      <c r="K180" s="138"/>
      <c r="L180" s="134"/>
      <c r="M180" s="142"/>
    </row>
    <row r="181" spans="1:13" s="29" customFormat="1" ht="35.1" customHeight="1" x14ac:dyDescent="0.3">
      <c r="A181" s="21"/>
      <c r="B181" s="22"/>
      <c r="C181" s="23"/>
      <c r="D181" s="16" t="s">
        <v>556</v>
      </c>
      <c r="E181" s="65">
        <f t="shared" si="8"/>
        <v>2.75</v>
      </c>
      <c r="F181" s="74" t="s">
        <v>17</v>
      </c>
      <c r="G181" s="27"/>
      <c r="H181" s="20"/>
      <c r="J181" s="134"/>
      <c r="K181" s="138"/>
      <c r="L181" s="134"/>
      <c r="M181" s="142"/>
    </row>
    <row r="182" spans="1:13" s="29" customFormat="1" ht="35.1" customHeight="1" x14ac:dyDescent="0.3">
      <c r="A182" s="21"/>
      <c r="B182" s="22"/>
      <c r="C182" s="23"/>
      <c r="D182" s="16" t="s">
        <v>694</v>
      </c>
      <c r="E182" s="65">
        <f>(1.5-0.1)*1*2.5</f>
        <v>3.5</v>
      </c>
      <c r="F182" s="74" t="s">
        <v>17</v>
      </c>
      <c r="G182" s="27"/>
      <c r="H182" s="20"/>
      <c r="J182" s="134"/>
      <c r="K182" s="138"/>
      <c r="L182" s="134"/>
      <c r="M182" s="142"/>
    </row>
    <row r="183" spans="1:13" s="29" customFormat="1" ht="35.1" customHeight="1" x14ac:dyDescent="0.3">
      <c r="A183" s="21"/>
      <c r="B183" s="22"/>
      <c r="C183" s="23"/>
      <c r="D183" s="16" t="s">
        <v>557</v>
      </c>
      <c r="E183" s="65">
        <f t="shared" si="8"/>
        <v>2.75</v>
      </c>
      <c r="F183" s="74" t="s">
        <v>17</v>
      </c>
      <c r="G183" s="27"/>
      <c r="H183" s="20"/>
      <c r="J183" s="134"/>
      <c r="K183" s="138"/>
      <c r="L183" s="134"/>
      <c r="M183" s="142"/>
    </row>
    <row r="184" spans="1:13" s="29" customFormat="1" ht="35.1" customHeight="1" x14ac:dyDescent="0.3">
      <c r="A184" s="21"/>
      <c r="B184" s="22"/>
      <c r="C184" s="23"/>
      <c r="D184" s="16" t="s">
        <v>695</v>
      </c>
      <c r="E184" s="65">
        <f>(1.5-0.1)*1*2.5</f>
        <v>3.5</v>
      </c>
      <c r="F184" s="74" t="s">
        <v>17</v>
      </c>
      <c r="G184" s="27"/>
      <c r="H184" s="20"/>
      <c r="J184" s="134"/>
      <c r="K184" s="138"/>
      <c r="L184" s="134"/>
      <c r="M184" s="142"/>
    </row>
    <row r="185" spans="1:13" s="29" customFormat="1" ht="35.1" customHeight="1" x14ac:dyDescent="0.3">
      <c r="A185" s="21"/>
      <c r="B185" s="22"/>
      <c r="C185" s="23"/>
      <c r="D185" s="16" t="s">
        <v>558</v>
      </c>
      <c r="E185" s="65">
        <f t="shared" si="8"/>
        <v>2.75</v>
      </c>
      <c r="F185" s="74" t="s">
        <v>17</v>
      </c>
      <c r="G185" s="27"/>
      <c r="H185" s="20"/>
      <c r="J185" s="134"/>
      <c r="K185" s="138"/>
      <c r="L185" s="134"/>
      <c r="M185" s="142"/>
    </row>
    <row r="186" spans="1:13" s="29" customFormat="1" ht="35.1" customHeight="1" x14ac:dyDescent="0.3">
      <c r="A186" s="21"/>
      <c r="B186" s="22"/>
      <c r="C186" s="23"/>
      <c r="D186" s="16" t="s">
        <v>696</v>
      </c>
      <c r="E186" s="65">
        <f>(1.5-0.1)*1*2.5</f>
        <v>3.5</v>
      </c>
      <c r="F186" s="74" t="s">
        <v>17</v>
      </c>
      <c r="G186" s="27"/>
      <c r="H186" s="20"/>
      <c r="J186" s="134"/>
      <c r="K186" s="138"/>
      <c r="L186" s="134"/>
      <c r="M186" s="142"/>
    </row>
    <row r="187" spans="1:13" s="29" customFormat="1" ht="35.1" customHeight="1" x14ac:dyDescent="0.3">
      <c r="A187" s="21"/>
      <c r="B187" s="22"/>
      <c r="C187" s="23"/>
      <c r="D187" s="16" t="s">
        <v>559</v>
      </c>
      <c r="E187" s="65">
        <f t="shared" si="8"/>
        <v>2.75</v>
      </c>
      <c r="F187" s="74" t="s">
        <v>17</v>
      </c>
      <c r="G187" s="27"/>
      <c r="H187" s="20"/>
      <c r="J187" s="134"/>
      <c r="K187" s="138"/>
      <c r="L187" s="134"/>
      <c r="M187" s="142"/>
    </row>
    <row r="188" spans="1:13" s="29" customFormat="1" ht="35.1" customHeight="1" x14ac:dyDescent="0.3">
      <c r="A188" s="21"/>
      <c r="B188" s="22"/>
      <c r="C188" s="23"/>
      <c r="D188" s="16" t="s">
        <v>697</v>
      </c>
      <c r="E188" s="65">
        <f>(1.5-0.1)*1*2.5</f>
        <v>3.5</v>
      </c>
      <c r="F188" s="74" t="s">
        <v>17</v>
      </c>
      <c r="G188" s="27"/>
      <c r="H188" s="20"/>
      <c r="J188" s="134"/>
      <c r="K188" s="138"/>
      <c r="L188" s="134"/>
      <c r="M188" s="142"/>
    </row>
    <row r="189" spans="1:13" s="29" customFormat="1" ht="35.1" customHeight="1" x14ac:dyDescent="0.3">
      <c r="A189" s="21"/>
      <c r="B189" s="22"/>
      <c r="C189" s="23"/>
      <c r="D189" s="243" t="s">
        <v>364</v>
      </c>
      <c r="E189" s="244">
        <f>SUM(E172:E188)</f>
        <v>50</v>
      </c>
      <c r="F189" s="245" t="s">
        <v>17</v>
      </c>
      <c r="G189" s="27"/>
      <c r="H189" s="20"/>
      <c r="J189" s="134"/>
      <c r="K189" s="138"/>
      <c r="L189" s="134"/>
      <c r="M189" s="142"/>
    </row>
    <row r="190" spans="1:13" s="29" customFormat="1" ht="35.1" customHeight="1" x14ac:dyDescent="0.3">
      <c r="A190" s="21"/>
      <c r="B190" s="22"/>
      <c r="C190" s="23"/>
      <c r="D190" s="243"/>
      <c r="E190" s="244"/>
      <c r="F190" s="245"/>
      <c r="G190" s="27"/>
      <c r="H190" s="20"/>
      <c r="J190" s="134"/>
      <c r="K190" s="138"/>
      <c r="L190" s="134"/>
      <c r="M190" s="142"/>
    </row>
    <row r="191" spans="1:13" s="29" customFormat="1" ht="35.1" customHeight="1" x14ac:dyDescent="0.3">
      <c r="A191" s="21"/>
      <c r="B191" s="22"/>
      <c r="C191" s="23"/>
      <c r="D191" s="16" t="s">
        <v>360</v>
      </c>
      <c r="E191" s="25"/>
      <c r="F191" s="26"/>
      <c r="G191" s="27"/>
      <c r="H191" s="20"/>
      <c r="J191" s="134"/>
      <c r="K191" s="138"/>
      <c r="L191" s="134"/>
      <c r="M191" s="142"/>
    </row>
    <row r="192" spans="1:13" s="29" customFormat="1" ht="35.1" customHeight="1" x14ac:dyDescent="0.3">
      <c r="A192" s="21"/>
      <c r="B192" s="22"/>
      <c r="C192" s="23"/>
      <c r="D192" s="16" t="s">
        <v>543</v>
      </c>
      <c r="E192" s="65">
        <f>(1.5-0.4)*1*3.5</f>
        <v>3.8500000000000005</v>
      </c>
      <c r="F192" s="74" t="s">
        <v>17</v>
      </c>
      <c r="G192" s="27"/>
      <c r="H192" s="20"/>
      <c r="J192" s="134"/>
      <c r="K192" s="138"/>
      <c r="L192" s="134"/>
      <c r="M192" s="142"/>
    </row>
    <row r="193" spans="1:13" s="29" customFormat="1" ht="35.1" customHeight="1" x14ac:dyDescent="0.3">
      <c r="A193" s="21"/>
      <c r="B193" s="22"/>
      <c r="C193" s="23"/>
      <c r="D193" s="16" t="s">
        <v>698</v>
      </c>
      <c r="E193" s="65">
        <f>(1.5-0.1)*1*2.5</f>
        <v>3.5</v>
      </c>
      <c r="F193" s="74" t="s">
        <v>17</v>
      </c>
      <c r="G193" s="27"/>
      <c r="H193" s="20"/>
      <c r="J193" s="134"/>
      <c r="K193" s="138"/>
      <c r="L193" s="134"/>
      <c r="M193" s="142"/>
    </row>
    <row r="194" spans="1:13" s="29" customFormat="1" ht="35.1" customHeight="1" x14ac:dyDescent="0.3">
      <c r="A194" s="21"/>
      <c r="B194" s="22"/>
      <c r="C194" s="23"/>
      <c r="D194" s="16" t="s">
        <v>544</v>
      </c>
      <c r="E194" s="65">
        <f t="shared" ref="E194:E208" si="9">(1.5-0.4)*1*3.5</f>
        <v>3.8500000000000005</v>
      </c>
      <c r="F194" s="74" t="s">
        <v>17</v>
      </c>
      <c r="G194" s="27"/>
      <c r="H194" s="20"/>
      <c r="J194" s="134"/>
      <c r="K194" s="138"/>
      <c r="L194" s="134"/>
      <c r="M194" s="142"/>
    </row>
    <row r="195" spans="1:13" s="29" customFormat="1" ht="35.1" customHeight="1" x14ac:dyDescent="0.3">
      <c r="A195" s="21"/>
      <c r="B195" s="22"/>
      <c r="C195" s="23"/>
      <c r="D195" s="16" t="s">
        <v>699</v>
      </c>
      <c r="E195" s="65">
        <f>(1.5-0.1)*1*2.5</f>
        <v>3.5</v>
      </c>
      <c r="F195" s="74" t="s">
        <v>17</v>
      </c>
      <c r="G195" s="27"/>
      <c r="H195" s="20"/>
      <c r="J195" s="134"/>
      <c r="K195" s="138"/>
      <c r="L195" s="134"/>
      <c r="M195" s="142"/>
    </row>
    <row r="196" spans="1:13" s="29" customFormat="1" ht="35.1" customHeight="1" x14ac:dyDescent="0.3">
      <c r="A196" s="21"/>
      <c r="B196" s="22"/>
      <c r="C196" s="23"/>
      <c r="D196" s="16" t="s">
        <v>545</v>
      </c>
      <c r="E196" s="65">
        <f t="shared" si="9"/>
        <v>3.8500000000000005</v>
      </c>
      <c r="F196" s="74" t="s">
        <v>17</v>
      </c>
      <c r="G196" s="27"/>
      <c r="H196" s="20"/>
      <c r="J196" s="134"/>
      <c r="K196" s="138"/>
      <c r="L196" s="134"/>
      <c r="M196" s="142"/>
    </row>
    <row r="197" spans="1:13" s="29" customFormat="1" ht="35.1" customHeight="1" x14ac:dyDescent="0.3">
      <c r="A197" s="21"/>
      <c r="B197" s="22"/>
      <c r="C197" s="23"/>
      <c r="D197" s="16" t="s">
        <v>700</v>
      </c>
      <c r="E197" s="65">
        <f>(1.5-0.1)*1*2.5</f>
        <v>3.5</v>
      </c>
      <c r="F197" s="74" t="s">
        <v>17</v>
      </c>
      <c r="G197" s="27"/>
      <c r="H197" s="20"/>
      <c r="J197" s="134"/>
      <c r="K197" s="138"/>
      <c r="L197" s="134"/>
      <c r="M197" s="142"/>
    </row>
    <row r="198" spans="1:13" s="29" customFormat="1" ht="35.1" customHeight="1" x14ac:dyDescent="0.3">
      <c r="A198" s="21"/>
      <c r="B198" s="22"/>
      <c r="C198" s="23"/>
      <c r="D198" s="16" t="s">
        <v>546</v>
      </c>
      <c r="E198" s="65">
        <f t="shared" si="9"/>
        <v>3.8500000000000005</v>
      </c>
      <c r="F198" s="74" t="s">
        <v>17</v>
      </c>
      <c r="G198" s="27"/>
      <c r="H198" s="20"/>
      <c r="J198" s="134"/>
      <c r="K198" s="138"/>
      <c r="L198" s="134"/>
      <c r="M198" s="142"/>
    </row>
    <row r="199" spans="1:13" s="29" customFormat="1" ht="35.1" customHeight="1" x14ac:dyDescent="0.3">
      <c r="A199" s="21"/>
      <c r="B199" s="22"/>
      <c r="C199" s="23"/>
      <c r="D199" s="16" t="s">
        <v>701</v>
      </c>
      <c r="E199" s="65">
        <f>(1.5-0.1)*1*2.5</f>
        <v>3.5</v>
      </c>
      <c r="F199" s="74" t="s">
        <v>17</v>
      </c>
      <c r="G199" s="27"/>
      <c r="H199" s="20"/>
      <c r="J199" s="134"/>
      <c r="K199" s="138"/>
      <c r="L199" s="134"/>
      <c r="M199" s="142"/>
    </row>
    <row r="200" spans="1:13" s="29" customFormat="1" ht="35.1" customHeight="1" x14ac:dyDescent="0.3">
      <c r="A200" s="21"/>
      <c r="B200" s="22"/>
      <c r="C200" s="23"/>
      <c r="D200" s="16" t="s">
        <v>547</v>
      </c>
      <c r="E200" s="65">
        <f t="shared" si="9"/>
        <v>3.8500000000000005</v>
      </c>
      <c r="F200" s="74" t="s">
        <v>17</v>
      </c>
      <c r="G200" s="27"/>
      <c r="H200" s="20"/>
      <c r="J200" s="134"/>
      <c r="K200" s="138"/>
      <c r="L200" s="134"/>
      <c r="M200" s="142"/>
    </row>
    <row r="201" spans="1:13" s="29" customFormat="1" ht="35.1" customHeight="1" x14ac:dyDescent="0.3">
      <c r="A201" s="21"/>
      <c r="B201" s="22"/>
      <c r="C201" s="23"/>
      <c r="D201" s="16" t="s">
        <v>702</v>
      </c>
      <c r="E201" s="65">
        <f>(1.5-0.1)*1*2.5</f>
        <v>3.5</v>
      </c>
      <c r="F201" s="74" t="s">
        <v>17</v>
      </c>
      <c r="G201" s="27"/>
      <c r="H201" s="20"/>
      <c r="J201" s="134"/>
      <c r="K201" s="138"/>
      <c r="L201" s="134"/>
      <c r="M201" s="142"/>
    </row>
    <row r="202" spans="1:13" s="29" customFormat="1" ht="35.1" customHeight="1" x14ac:dyDescent="0.3">
      <c r="A202" s="21"/>
      <c r="B202" s="22"/>
      <c r="C202" s="23"/>
      <c r="D202" s="16" t="s">
        <v>548</v>
      </c>
      <c r="E202" s="65">
        <f t="shared" si="9"/>
        <v>3.8500000000000005</v>
      </c>
      <c r="F202" s="74" t="s">
        <v>17</v>
      </c>
      <c r="G202" s="27"/>
      <c r="H202" s="20"/>
      <c r="J202" s="134"/>
      <c r="K202" s="138"/>
      <c r="L202" s="134"/>
      <c r="M202" s="142"/>
    </row>
    <row r="203" spans="1:13" s="29" customFormat="1" ht="35.1" customHeight="1" x14ac:dyDescent="0.3">
      <c r="A203" s="21"/>
      <c r="B203" s="22"/>
      <c r="C203" s="23"/>
      <c r="D203" s="16" t="s">
        <v>703</v>
      </c>
      <c r="E203" s="65">
        <f>(1.5-0.1)*1*2.5</f>
        <v>3.5</v>
      </c>
      <c r="F203" s="74" t="s">
        <v>17</v>
      </c>
      <c r="G203" s="27"/>
      <c r="H203" s="20"/>
      <c r="J203" s="134"/>
      <c r="K203" s="138"/>
      <c r="L203" s="134"/>
      <c r="M203" s="142"/>
    </row>
    <row r="204" spans="1:13" s="29" customFormat="1" ht="35.1" customHeight="1" x14ac:dyDescent="0.3">
      <c r="A204" s="21"/>
      <c r="B204" s="22"/>
      <c r="C204" s="23"/>
      <c r="D204" s="16" t="s">
        <v>549</v>
      </c>
      <c r="E204" s="65">
        <f t="shared" si="9"/>
        <v>3.8500000000000005</v>
      </c>
      <c r="F204" s="74" t="s">
        <v>17</v>
      </c>
      <c r="G204" s="27"/>
      <c r="H204" s="20"/>
      <c r="J204" s="134"/>
      <c r="K204" s="138"/>
      <c r="L204" s="134"/>
      <c r="M204" s="142"/>
    </row>
    <row r="205" spans="1:13" s="29" customFormat="1" ht="35.1" customHeight="1" x14ac:dyDescent="0.3">
      <c r="A205" s="21"/>
      <c r="B205" s="22"/>
      <c r="C205" s="23"/>
      <c r="D205" s="16" t="s">
        <v>704</v>
      </c>
      <c r="E205" s="65">
        <f>(1.5-0.1)*1*2.5</f>
        <v>3.5</v>
      </c>
      <c r="F205" s="74" t="s">
        <v>17</v>
      </c>
      <c r="G205" s="27"/>
      <c r="H205" s="20"/>
      <c r="J205" s="134"/>
      <c r="K205" s="138"/>
      <c r="L205" s="134"/>
      <c r="M205" s="142"/>
    </row>
    <row r="206" spans="1:13" s="29" customFormat="1" ht="35.1" customHeight="1" x14ac:dyDescent="0.3">
      <c r="A206" s="21"/>
      <c r="B206" s="22"/>
      <c r="C206" s="23"/>
      <c r="D206" s="16" t="s">
        <v>550</v>
      </c>
      <c r="E206" s="65">
        <f t="shared" si="9"/>
        <v>3.8500000000000005</v>
      </c>
      <c r="F206" s="74" t="s">
        <v>17</v>
      </c>
      <c r="G206" s="27"/>
      <c r="H206" s="20"/>
      <c r="J206" s="134"/>
      <c r="K206" s="138"/>
      <c r="L206" s="134"/>
      <c r="M206" s="142"/>
    </row>
    <row r="207" spans="1:13" s="29" customFormat="1" ht="35.1" customHeight="1" x14ac:dyDescent="0.3">
      <c r="A207" s="21"/>
      <c r="B207" s="22"/>
      <c r="C207" s="23"/>
      <c r="D207" s="16" t="s">
        <v>705</v>
      </c>
      <c r="E207" s="65">
        <f>(1.5-0.1)*1*2.5</f>
        <v>3.5</v>
      </c>
      <c r="F207" s="74" t="s">
        <v>17</v>
      </c>
      <c r="G207" s="27"/>
      <c r="H207" s="20"/>
      <c r="J207" s="134"/>
      <c r="K207" s="138"/>
      <c r="L207" s="134"/>
      <c r="M207" s="142"/>
    </row>
    <row r="208" spans="1:13" s="29" customFormat="1" ht="35.1" customHeight="1" x14ac:dyDescent="0.3">
      <c r="A208" s="21"/>
      <c r="B208" s="22"/>
      <c r="C208" s="23"/>
      <c r="D208" s="16" t="s">
        <v>551</v>
      </c>
      <c r="E208" s="65">
        <f t="shared" si="9"/>
        <v>3.8500000000000005</v>
      </c>
      <c r="F208" s="74" t="s">
        <v>17</v>
      </c>
      <c r="G208" s="27"/>
      <c r="H208" s="20"/>
      <c r="J208" s="134"/>
      <c r="K208" s="138"/>
      <c r="L208" s="134"/>
      <c r="M208" s="142"/>
    </row>
    <row r="209" spans="1:13" s="29" customFormat="1" ht="35.1" customHeight="1" x14ac:dyDescent="0.3">
      <c r="A209" s="21"/>
      <c r="B209" s="22"/>
      <c r="C209" s="23"/>
      <c r="D209" s="16" t="s">
        <v>706</v>
      </c>
      <c r="E209" s="65">
        <f>(1.5-0.1)*1*2.5</f>
        <v>3.5</v>
      </c>
      <c r="F209" s="74" t="s">
        <v>17</v>
      </c>
      <c r="G209" s="27"/>
      <c r="H209" s="20"/>
      <c r="J209" s="134"/>
      <c r="K209" s="138"/>
      <c r="L209" s="134"/>
      <c r="M209" s="142"/>
    </row>
    <row r="210" spans="1:13" s="29" customFormat="1" ht="35.1" customHeight="1" x14ac:dyDescent="0.3">
      <c r="A210" s="21"/>
      <c r="B210" s="22"/>
      <c r="C210" s="23"/>
      <c r="D210" s="16" t="s">
        <v>426</v>
      </c>
      <c r="E210" s="65">
        <f>(1.5-0.4)*1*3.5*0</f>
        <v>0</v>
      </c>
      <c r="F210" s="74" t="s">
        <v>17</v>
      </c>
      <c r="G210" s="27"/>
      <c r="H210" s="20"/>
      <c r="J210" s="134"/>
      <c r="K210" s="138"/>
      <c r="L210" s="134"/>
      <c r="M210" s="142"/>
    </row>
    <row r="211" spans="1:13" s="29" customFormat="1" ht="35.1" customHeight="1" x14ac:dyDescent="0.3">
      <c r="A211" s="21"/>
      <c r="B211" s="22"/>
      <c r="C211" s="23"/>
      <c r="D211" s="243" t="s">
        <v>365</v>
      </c>
      <c r="E211" s="244">
        <f>SUM(E192:E210)</f>
        <v>66.150000000000006</v>
      </c>
      <c r="F211" s="245" t="s">
        <v>17</v>
      </c>
      <c r="G211" s="27"/>
      <c r="H211" s="20"/>
      <c r="J211" s="134"/>
      <c r="K211" s="138"/>
      <c r="L211" s="134"/>
      <c r="M211" s="142"/>
    </row>
    <row r="212" spans="1:13" s="29" customFormat="1" ht="35.1" customHeight="1" x14ac:dyDescent="0.3">
      <c r="A212" s="21"/>
      <c r="B212" s="22"/>
      <c r="C212" s="23"/>
      <c r="D212" s="243" t="s">
        <v>366</v>
      </c>
      <c r="E212" s="244">
        <f>E168+E189+E211</f>
        <v>216.24999999999997</v>
      </c>
      <c r="F212" s="245" t="s">
        <v>17</v>
      </c>
      <c r="G212" s="27"/>
      <c r="H212" s="20"/>
      <c r="J212" s="134"/>
      <c r="K212" s="138"/>
      <c r="L212" s="134"/>
      <c r="M212" s="142"/>
    </row>
    <row r="213" spans="1:13" s="29" customFormat="1" ht="35.1" customHeight="1" x14ac:dyDescent="0.3">
      <c r="A213" s="21"/>
      <c r="B213" s="22"/>
      <c r="C213" s="23"/>
      <c r="D213" s="243"/>
      <c r="E213" s="244"/>
      <c r="F213" s="245"/>
      <c r="G213" s="27"/>
      <c r="H213" s="20"/>
      <c r="J213" s="134"/>
      <c r="K213" s="138"/>
      <c r="L213" s="134"/>
      <c r="M213" s="142"/>
    </row>
    <row r="214" spans="1:13" s="29" customFormat="1" ht="35.1" customHeight="1" x14ac:dyDescent="0.3">
      <c r="A214" s="21"/>
      <c r="B214" s="22"/>
      <c r="C214" s="23"/>
      <c r="D214" s="296" t="s">
        <v>18</v>
      </c>
      <c r="E214" s="297">
        <f>E164+E212</f>
        <v>575.44999999999993</v>
      </c>
      <c r="F214" s="298" t="s">
        <v>17</v>
      </c>
      <c r="G214" s="27"/>
      <c r="H214" s="20"/>
      <c r="J214" s="134"/>
      <c r="K214" s="138"/>
      <c r="L214" s="134"/>
      <c r="M214" s="142"/>
    </row>
    <row r="215" spans="1:13" s="29" customFormat="1" ht="35.1" customHeight="1" x14ac:dyDescent="0.3">
      <c r="A215" s="21"/>
      <c r="B215" s="22"/>
      <c r="C215" s="23"/>
      <c r="D215" s="102" t="s">
        <v>375</v>
      </c>
      <c r="E215" s="103">
        <f>E214*0.5</f>
        <v>287.72499999999997</v>
      </c>
      <c r="F215" s="104" t="s">
        <v>17</v>
      </c>
      <c r="G215" s="27"/>
      <c r="H215" s="20"/>
      <c r="J215" s="134"/>
      <c r="K215" s="138"/>
      <c r="L215" s="134"/>
      <c r="M215" s="142"/>
    </row>
    <row r="216" spans="1:13" s="35" customFormat="1" ht="35.1" customHeight="1" x14ac:dyDescent="0.3">
      <c r="A216" s="30"/>
      <c r="B216" s="22"/>
      <c r="C216" s="31"/>
      <c r="D216" s="95"/>
      <c r="E216" s="96"/>
      <c r="F216" s="97"/>
      <c r="G216" s="98"/>
      <c r="H216" s="20"/>
      <c r="J216" s="135"/>
      <c r="K216" s="138"/>
      <c r="L216" s="135"/>
      <c r="M216" s="154"/>
    </row>
    <row r="217" spans="1:13" s="4" customFormat="1" ht="35.1" customHeight="1" x14ac:dyDescent="0.3">
      <c r="A217" s="13">
        <v>4</v>
      </c>
      <c r="B217" s="14" t="s">
        <v>12</v>
      </c>
      <c r="C217" s="15" t="s">
        <v>20</v>
      </c>
      <c r="D217" s="16" t="s">
        <v>21</v>
      </c>
      <c r="E217" s="17">
        <f>E218</f>
        <v>143.86249999999998</v>
      </c>
      <c r="F217" s="18" t="s">
        <v>17</v>
      </c>
      <c r="G217" s="19"/>
      <c r="H217" s="20">
        <f>E217*G217</f>
        <v>0</v>
      </c>
      <c r="J217" s="133">
        <v>0</v>
      </c>
      <c r="K217" s="138">
        <f t="shared" si="1"/>
        <v>0</v>
      </c>
      <c r="L217" s="133">
        <v>0</v>
      </c>
      <c r="M217" s="139" t="e">
        <f>L217*#REF!</f>
        <v>#REF!</v>
      </c>
    </row>
    <row r="218" spans="1:13" s="29" customFormat="1" ht="35.1" customHeight="1" x14ac:dyDescent="0.3">
      <c r="A218" s="21"/>
      <c r="B218" s="22"/>
      <c r="C218" s="23" t="s">
        <v>0</v>
      </c>
      <c r="D218" s="24" t="s">
        <v>707</v>
      </c>
      <c r="E218" s="25">
        <f>E97*0.5</f>
        <v>143.86249999999998</v>
      </c>
      <c r="F218" s="26" t="s">
        <v>17</v>
      </c>
      <c r="G218" s="27"/>
      <c r="H218" s="20"/>
      <c r="J218" s="134"/>
      <c r="K218" s="138"/>
      <c r="L218" s="134"/>
      <c r="M218" s="142"/>
    </row>
    <row r="219" spans="1:13" s="35" customFormat="1" ht="35.1" customHeight="1" x14ac:dyDescent="0.3">
      <c r="A219" s="30"/>
      <c r="B219" s="22"/>
      <c r="C219" s="31"/>
      <c r="D219" s="94"/>
      <c r="E219" s="32"/>
      <c r="F219" s="33"/>
      <c r="G219" s="34"/>
      <c r="H219" s="20"/>
      <c r="J219" s="135"/>
      <c r="K219" s="138"/>
      <c r="L219" s="135"/>
      <c r="M219" s="136"/>
    </row>
    <row r="220" spans="1:13" s="35" customFormat="1" ht="35.1" customHeight="1" x14ac:dyDescent="0.3">
      <c r="A220" s="13">
        <v>5</v>
      </c>
      <c r="B220" s="14" t="s">
        <v>12</v>
      </c>
      <c r="C220" s="15" t="s">
        <v>342</v>
      </c>
      <c r="D220" s="16" t="s">
        <v>343</v>
      </c>
      <c r="E220" s="17">
        <f>E97</f>
        <v>287.72499999999997</v>
      </c>
      <c r="F220" s="18" t="s">
        <v>17</v>
      </c>
      <c r="G220" s="19"/>
      <c r="H220" s="20">
        <f t="shared" ref="H220:H224" si="10">E220*G220</f>
        <v>0</v>
      </c>
      <c r="J220" s="135"/>
      <c r="K220" s="138"/>
      <c r="L220" s="135"/>
      <c r="M220" s="136"/>
    </row>
    <row r="221" spans="1:13" s="35" customFormat="1" ht="35.1" customHeight="1" x14ac:dyDescent="0.3">
      <c r="A221" s="13"/>
      <c r="B221" s="22"/>
      <c r="C221" s="31"/>
      <c r="D221" s="94"/>
      <c r="E221" s="32"/>
      <c r="F221" s="33"/>
      <c r="G221" s="34"/>
      <c r="H221" s="20"/>
      <c r="J221" s="135"/>
      <c r="K221" s="138"/>
      <c r="L221" s="135"/>
      <c r="M221" s="136"/>
    </row>
    <row r="222" spans="1:13" s="35" customFormat="1" ht="35.1" customHeight="1" x14ac:dyDescent="0.3">
      <c r="A222" s="13">
        <v>6</v>
      </c>
      <c r="B222" s="14" t="s">
        <v>12</v>
      </c>
      <c r="C222" s="15" t="s">
        <v>344</v>
      </c>
      <c r="D222" s="16" t="s">
        <v>345</v>
      </c>
      <c r="E222" s="17">
        <f>E217</f>
        <v>143.86249999999998</v>
      </c>
      <c r="F222" s="18" t="s">
        <v>17</v>
      </c>
      <c r="G222" s="19"/>
      <c r="H222" s="20">
        <f t="shared" si="10"/>
        <v>0</v>
      </c>
      <c r="J222" s="135"/>
      <c r="K222" s="138"/>
      <c r="L222" s="135"/>
      <c r="M222" s="136"/>
    </row>
    <row r="223" spans="1:13" s="35" customFormat="1" ht="35.1" customHeight="1" x14ac:dyDescent="0.3">
      <c r="A223" s="30"/>
      <c r="B223" s="22"/>
      <c r="C223" s="31"/>
      <c r="D223" s="94"/>
      <c r="E223" s="32"/>
      <c r="F223" s="33"/>
      <c r="G223" s="34"/>
      <c r="H223" s="20"/>
      <c r="J223" s="135"/>
      <c r="K223" s="138"/>
      <c r="L223" s="135"/>
      <c r="M223" s="136"/>
    </row>
    <row r="224" spans="1:13" s="4" customFormat="1" ht="35.1" customHeight="1" x14ac:dyDescent="0.3">
      <c r="A224" s="13">
        <v>7</v>
      </c>
      <c r="B224" s="14" t="s">
        <v>12</v>
      </c>
      <c r="C224" s="15" t="s">
        <v>23</v>
      </c>
      <c r="D224" s="16" t="s">
        <v>24</v>
      </c>
      <c r="E224" s="17">
        <f>E230</f>
        <v>0.85</v>
      </c>
      <c r="F224" s="18" t="s">
        <v>17</v>
      </c>
      <c r="G224" s="19"/>
      <c r="H224" s="20">
        <f t="shared" si="10"/>
        <v>0</v>
      </c>
      <c r="J224" s="133">
        <v>0</v>
      </c>
      <c r="K224" s="138">
        <f t="shared" ref="K224:K365" si="11">E224*J224</f>
        <v>0</v>
      </c>
      <c r="L224" s="133">
        <v>0</v>
      </c>
      <c r="M224" s="139" t="e">
        <f>L224*#REF!</f>
        <v>#REF!</v>
      </c>
    </row>
    <row r="225" spans="1:13" s="4" customFormat="1" ht="35.1" customHeight="1" x14ac:dyDescent="0.3">
      <c r="A225" s="13"/>
      <c r="B225" s="14"/>
      <c r="C225" s="15"/>
      <c r="D225" s="16" t="s">
        <v>231</v>
      </c>
      <c r="E225" s="17"/>
      <c r="F225" s="18"/>
      <c r="G225" s="19"/>
      <c r="H225" s="20"/>
      <c r="J225" s="133"/>
      <c r="K225" s="138"/>
      <c r="L225" s="133"/>
      <c r="M225" s="139"/>
    </row>
    <row r="226" spans="1:13" s="29" customFormat="1" ht="35.1" customHeight="1" x14ac:dyDescent="0.3">
      <c r="A226" s="21"/>
      <c r="B226" s="22"/>
      <c r="C226" s="23"/>
      <c r="D226" s="24" t="s">
        <v>372</v>
      </c>
      <c r="E226" s="25"/>
      <c r="F226" s="26"/>
      <c r="G226" s="27"/>
      <c r="H226" s="20"/>
      <c r="J226" s="134"/>
      <c r="K226" s="138"/>
      <c r="L226" s="134"/>
      <c r="M226" s="142"/>
    </row>
    <row r="227" spans="1:13" s="29" customFormat="1" ht="35.1" customHeight="1" x14ac:dyDescent="0.3">
      <c r="A227" s="21"/>
      <c r="B227" s="22"/>
      <c r="C227" s="23"/>
      <c r="D227" s="24" t="s">
        <v>432</v>
      </c>
      <c r="E227" s="25">
        <f>2*(2+2*0.1)*2*2*0</f>
        <v>0</v>
      </c>
      <c r="F227" s="26" t="s">
        <v>17</v>
      </c>
      <c r="G227" s="27"/>
      <c r="H227" s="20"/>
      <c r="J227" s="134"/>
      <c r="K227" s="138"/>
      <c r="L227" s="134"/>
      <c r="M227" s="142"/>
    </row>
    <row r="228" spans="1:13" s="29" customFormat="1" ht="35.1" customHeight="1" x14ac:dyDescent="0.3">
      <c r="A228" s="21"/>
      <c r="B228" s="22"/>
      <c r="C228" s="23"/>
      <c r="D228" s="24" t="s">
        <v>431</v>
      </c>
      <c r="E228" s="25">
        <f>1*(1.5+2*0.1)*1*1</f>
        <v>1.7</v>
      </c>
      <c r="F228" s="26" t="s">
        <v>17</v>
      </c>
      <c r="G228" s="27"/>
      <c r="H228" s="20"/>
      <c r="J228" s="134"/>
      <c r="K228" s="138"/>
      <c r="L228" s="134"/>
      <c r="M228" s="142"/>
    </row>
    <row r="229" spans="1:13" s="119" customFormat="1" ht="35.1" customHeight="1" x14ac:dyDescent="0.3">
      <c r="A229" s="112"/>
      <c r="B229" s="113"/>
      <c r="C229" s="114"/>
      <c r="D229" s="115" t="s">
        <v>18</v>
      </c>
      <c r="E229" s="116">
        <f>SUM(E227:E228)</f>
        <v>1.7</v>
      </c>
      <c r="F229" s="117" t="s">
        <v>17</v>
      </c>
      <c r="G229" s="118"/>
      <c r="H229" s="253"/>
      <c r="J229" s="140"/>
      <c r="K229" s="254"/>
      <c r="L229" s="140"/>
      <c r="M229" s="255"/>
    </row>
    <row r="230" spans="1:13" s="119" customFormat="1" ht="35.1" customHeight="1" x14ac:dyDescent="0.3">
      <c r="A230" s="112"/>
      <c r="B230" s="113"/>
      <c r="C230" s="114"/>
      <c r="D230" s="243" t="s">
        <v>433</v>
      </c>
      <c r="E230" s="244">
        <f>E229*0.5</f>
        <v>0.85</v>
      </c>
      <c r="F230" s="245" t="s">
        <v>17</v>
      </c>
      <c r="G230" s="118"/>
      <c r="H230" s="253"/>
      <c r="J230" s="140"/>
      <c r="K230" s="254"/>
      <c r="L230" s="140"/>
      <c r="M230" s="255"/>
    </row>
    <row r="231" spans="1:13" s="29" customFormat="1" ht="35.1" customHeight="1" x14ac:dyDescent="0.3">
      <c r="A231" s="21"/>
      <c r="B231" s="22"/>
      <c r="C231" s="23"/>
      <c r="D231" s="115"/>
      <c r="E231" s="116"/>
      <c r="F231" s="117"/>
      <c r="G231" s="27"/>
      <c r="H231" s="20"/>
      <c r="J231" s="134"/>
      <c r="K231" s="138"/>
      <c r="L231" s="134"/>
      <c r="M231" s="142"/>
    </row>
    <row r="232" spans="1:13" s="29" customFormat="1" ht="35.1" customHeight="1" x14ac:dyDescent="0.3">
      <c r="A232" s="21">
        <v>8</v>
      </c>
      <c r="B232" s="14" t="s">
        <v>12</v>
      </c>
      <c r="C232" s="15" t="s">
        <v>346</v>
      </c>
      <c r="D232" s="16" t="s">
        <v>347</v>
      </c>
      <c r="E232" s="17">
        <f>E224</f>
        <v>0.85</v>
      </c>
      <c r="F232" s="18" t="s">
        <v>17</v>
      </c>
      <c r="G232" s="19"/>
      <c r="H232" s="20">
        <f t="shared" ref="H232:H234" si="12">E232*G232</f>
        <v>0</v>
      </c>
      <c r="J232" s="134"/>
      <c r="K232" s="138"/>
      <c r="L232" s="134"/>
      <c r="M232" s="142"/>
    </row>
    <row r="233" spans="1:13" s="29" customFormat="1" ht="35.1" customHeight="1" x14ac:dyDescent="0.3">
      <c r="A233" s="21"/>
      <c r="B233" s="22"/>
      <c r="C233" s="23"/>
      <c r="D233" s="24"/>
      <c r="E233" s="25"/>
      <c r="F233" s="26"/>
      <c r="G233" s="27"/>
      <c r="H233" s="20"/>
      <c r="J233" s="134"/>
      <c r="K233" s="138"/>
      <c r="L233" s="134"/>
      <c r="M233" s="142"/>
    </row>
    <row r="234" spans="1:13" s="4" customFormat="1" ht="35.1" customHeight="1" x14ac:dyDescent="0.3">
      <c r="A234" s="13">
        <v>9</v>
      </c>
      <c r="B234" s="14" t="s">
        <v>12</v>
      </c>
      <c r="C234" s="15" t="s">
        <v>26</v>
      </c>
      <c r="D234" s="16" t="s">
        <v>27</v>
      </c>
      <c r="E234" s="17">
        <f>E237</f>
        <v>577.15</v>
      </c>
      <c r="F234" s="18" t="s">
        <v>17</v>
      </c>
      <c r="G234" s="19"/>
      <c r="H234" s="20">
        <f t="shared" si="12"/>
        <v>0</v>
      </c>
      <c r="J234" s="133">
        <v>0</v>
      </c>
      <c r="K234" s="138">
        <f t="shared" si="11"/>
        <v>0</v>
      </c>
      <c r="L234" s="133">
        <v>0</v>
      </c>
      <c r="M234" s="139" t="e">
        <f>L234*#REF!</f>
        <v>#REF!</v>
      </c>
    </row>
    <row r="235" spans="1:13" s="29" customFormat="1" ht="35.1" customHeight="1" x14ac:dyDescent="0.3">
      <c r="A235" s="21"/>
      <c r="B235" s="22"/>
      <c r="C235" s="23"/>
      <c r="D235" s="24" t="s">
        <v>197</v>
      </c>
      <c r="E235" s="25">
        <f>E97+E220</f>
        <v>575.44999999999993</v>
      </c>
      <c r="F235" s="26" t="s">
        <v>17</v>
      </c>
      <c r="G235" s="27"/>
      <c r="H235" s="20"/>
      <c r="J235" s="134"/>
      <c r="K235" s="138"/>
      <c r="L235" s="134"/>
      <c r="M235" s="142"/>
    </row>
    <row r="236" spans="1:13" s="29" customFormat="1" ht="35.1" customHeight="1" x14ac:dyDescent="0.3">
      <c r="A236" s="21"/>
      <c r="B236" s="22"/>
      <c r="C236" s="23"/>
      <c r="D236" s="24" t="s">
        <v>198</v>
      </c>
      <c r="E236" s="25">
        <f>E224+E232</f>
        <v>1.7</v>
      </c>
      <c r="F236" s="26" t="s">
        <v>17</v>
      </c>
      <c r="G236" s="27"/>
      <c r="H236" s="20"/>
      <c r="J236" s="134"/>
      <c r="K236" s="138"/>
      <c r="L236" s="134"/>
      <c r="M236" s="142"/>
    </row>
    <row r="237" spans="1:13" s="29" customFormat="1" ht="35.1" customHeight="1" x14ac:dyDescent="0.3">
      <c r="A237" s="21"/>
      <c r="B237" s="22"/>
      <c r="C237" s="23"/>
      <c r="D237" s="115" t="s">
        <v>199</v>
      </c>
      <c r="E237" s="116">
        <f>SUM(E235:E236)</f>
        <v>577.15</v>
      </c>
      <c r="F237" s="117" t="s">
        <v>17</v>
      </c>
      <c r="G237" s="27"/>
      <c r="H237" s="20"/>
      <c r="J237" s="134"/>
      <c r="K237" s="138"/>
      <c r="L237" s="134"/>
      <c r="M237" s="142"/>
    </row>
    <row r="238" spans="1:13" s="29" customFormat="1" ht="35.1" customHeight="1" x14ac:dyDescent="0.3">
      <c r="A238" s="21"/>
      <c r="B238" s="22"/>
      <c r="C238" s="23"/>
      <c r="D238" s="24"/>
      <c r="E238" s="25"/>
      <c r="F238" s="26"/>
      <c r="G238" s="27"/>
      <c r="H238" s="20"/>
      <c r="J238" s="134"/>
      <c r="K238" s="138"/>
      <c r="L238" s="134"/>
      <c r="M238" s="142"/>
    </row>
    <row r="239" spans="1:13" s="4" customFormat="1" ht="35.1" customHeight="1" x14ac:dyDescent="0.3">
      <c r="A239" s="13">
        <v>10</v>
      </c>
      <c r="B239" s="14" t="s">
        <v>12</v>
      </c>
      <c r="C239" s="15" t="s">
        <v>28</v>
      </c>
      <c r="D239" s="16" t="s">
        <v>29</v>
      </c>
      <c r="E239" s="17">
        <f>E358</f>
        <v>1179.3</v>
      </c>
      <c r="F239" s="18" t="s">
        <v>13</v>
      </c>
      <c r="G239" s="19"/>
      <c r="H239" s="20">
        <f t="shared" ref="H239" si="13">E239*G239</f>
        <v>0</v>
      </c>
      <c r="J239" s="133">
        <v>0.84538000000000002</v>
      </c>
      <c r="K239" s="138">
        <f t="shared" si="11"/>
        <v>996.95663400000001</v>
      </c>
      <c r="L239" s="133">
        <v>0</v>
      </c>
      <c r="M239" s="139" t="e">
        <f>L239*#REF!</f>
        <v>#REF!</v>
      </c>
    </row>
    <row r="240" spans="1:13" s="4" customFormat="1" ht="35.1" customHeight="1" x14ac:dyDescent="0.3">
      <c r="A240" s="13"/>
      <c r="B240" s="14"/>
      <c r="C240" s="15"/>
      <c r="D240" s="16" t="s">
        <v>377</v>
      </c>
      <c r="E240" s="65"/>
      <c r="F240" s="74"/>
      <c r="G240" s="19"/>
      <c r="H240" s="20"/>
      <c r="J240" s="133"/>
      <c r="K240" s="138"/>
      <c r="L240" s="133"/>
      <c r="M240" s="139"/>
    </row>
    <row r="241" spans="1:13" s="4" customFormat="1" ht="35.1" customHeight="1" x14ac:dyDescent="0.3">
      <c r="A241" s="13"/>
      <c r="B241" s="14"/>
      <c r="C241" s="15"/>
      <c r="D241" s="16" t="s">
        <v>486</v>
      </c>
      <c r="E241" s="65">
        <f>2*1.5*(116-6)</f>
        <v>330</v>
      </c>
      <c r="F241" s="74" t="s">
        <v>13</v>
      </c>
      <c r="G241" s="19"/>
      <c r="H241" s="20"/>
      <c r="J241" s="133"/>
      <c r="K241" s="138"/>
      <c r="L241" s="133"/>
      <c r="M241" s="139"/>
    </row>
    <row r="242" spans="1:13" s="4" customFormat="1" ht="35.1" customHeight="1" x14ac:dyDescent="0.3">
      <c r="A242" s="13"/>
      <c r="B242" s="14"/>
      <c r="C242" s="15"/>
      <c r="D242" s="246" t="s">
        <v>359</v>
      </c>
      <c r="E242" s="247">
        <f>SUM(E241)</f>
        <v>330</v>
      </c>
      <c r="F242" s="248" t="s">
        <v>13</v>
      </c>
      <c r="G242" s="19"/>
      <c r="H242" s="20"/>
      <c r="J242" s="133"/>
      <c r="K242" s="138"/>
      <c r="L242" s="133"/>
      <c r="M242" s="139"/>
    </row>
    <row r="243" spans="1:13" s="4" customFormat="1" ht="35.1" customHeight="1" x14ac:dyDescent="0.3">
      <c r="A243" s="13"/>
      <c r="B243" s="14"/>
      <c r="C243" s="15"/>
      <c r="D243" s="246" t="s">
        <v>540</v>
      </c>
      <c r="E243" s="247">
        <f>E242*0.5</f>
        <v>165</v>
      </c>
      <c r="F243" s="248" t="s">
        <v>13</v>
      </c>
      <c r="G243" s="19"/>
      <c r="H243" s="20"/>
      <c r="J243" s="133"/>
      <c r="K243" s="138"/>
      <c r="L243" s="133"/>
      <c r="M243" s="139"/>
    </row>
    <row r="244" spans="1:13" s="4" customFormat="1" ht="35.1" customHeight="1" x14ac:dyDescent="0.3">
      <c r="A244" s="13"/>
      <c r="B244" s="14"/>
      <c r="C244" s="15"/>
      <c r="D244" s="246"/>
      <c r="E244" s="247"/>
      <c r="F244" s="248"/>
      <c r="G244" s="19"/>
      <c r="H244" s="20"/>
      <c r="J244" s="133"/>
      <c r="K244" s="138"/>
      <c r="L244" s="133"/>
      <c r="M244" s="139"/>
    </row>
    <row r="245" spans="1:13" s="4" customFormat="1" ht="35.1" customHeight="1" x14ac:dyDescent="0.3">
      <c r="A245" s="13"/>
      <c r="B245" s="14"/>
      <c r="C245" s="15"/>
      <c r="D245" s="16" t="s">
        <v>356</v>
      </c>
      <c r="E245" s="65"/>
      <c r="F245" s="74"/>
      <c r="G245" s="19"/>
      <c r="H245" s="20"/>
      <c r="J245" s="133"/>
      <c r="K245" s="138"/>
      <c r="L245" s="133"/>
      <c r="M245" s="139"/>
    </row>
    <row r="246" spans="1:13" s="4" customFormat="1" ht="35.1" customHeight="1" x14ac:dyDescent="0.3">
      <c r="A246" s="13"/>
      <c r="B246" s="14"/>
      <c r="C246" s="15"/>
      <c r="D246" s="16" t="s">
        <v>357</v>
      </c>
      <c r="E246" s="65"/>
      <c r="F246" s="74"/>
      <c r="G246" s="19"/>
      <c r="H246" s="20"/>
      <c r="J246" s="133"/>
      <c r="K246" s="138"/>
      <c r="L246" s="133"/>
      <c r="M246" s="139"/>
    </row>
    <row r="247" spans="1:13" s="4" customFormat="1" ht="35.1" customHeight="1" x14ac:dyDescent="0.3">
      <c r="A247" s="13"/>
      <c r="B247" s="14"/>
      <c r="C247" s="15"/>
      <c r="D247" s="193" t="s">
        <v>487</v>
      </c>
      <c r="E247" s="65">
        <f>2*1.5*2.5</f>
        <v>7.5</v>
      </c>
      <c r="F247" s="74" t="s">
        <v>13</v>
      </c>
      <c r="G247" s="19"/>
      <c r="H247" s="20"/>
      <c r="J247" s="133"/>
      <c r="K247" s="138"/>
      <c r="L247" s="133"/>
      <c r="M247" s="139"/>
    </row>
    <row r="248" spans="1:13" s="4" customFormat="1" ht="35.1" customHeight="1" x14ac:dyDescent="0.3">
      <c r="A248" s="13"/>
      <c r="B248" s="14"/>
      <c r="C248" s="15"/>
      <c r="D248" s="193" t="s">
        <v>488</v>
      </c>
      <c r="E248" s="65">
        <f>2*1.5*2.5</f>
        <v>7.5</v>
      </c>
      <c r="F248" s="74" t="s">
        <v>13</v>
      </c>
      <c r="G248" s="19"/>
      <c r="H248" s="20"/>
      <c r="J248" s="133"/>
      <c r="K248" s="138"/>
      <c r="L248" s="133"/>
      <c r="M248" s="139"/>
    </row>
    <row r="249" spans="1:13" s="4" customFormat="1" ht="35.1" customHeight="1" x14ac:dyDescent="0.3">
      <c r="A249" s="13"/>
      <c r="B249" s="14"/>
      <c r="C249" s="15"/>
      <c r="D249" s="193" t="s">
        <v>489</v>
      </c>
      <c r="E249" s="65">
        <f t="shared" ref="E249:E270" si="14">2*1.5*2.5</f>
        <v>7.5</v>
      </c>
      <c r="F249" s="74" t="s">
        <v>13</v>
      </c>
      <c r="G249" s="19"/>
      <c r="H249" s="20"/>
      <c r="J249" s="133"/>
      <c r="K249" s="138"/>
      <c r="L249" s="133"/>
      <c r="M249" s="139"/>
    </row>
    <row r="250" spans="1:13" s="4" customFormat="1" ht="35.1" customHeight="1" x14ac:dyDescent="0.3">
      <c r="A250" s="13"/>
      <c r="B250" s="14"/>
      <c r="C250" s="15"/>
      <c r="D250" s="193" t="s">
        <v>490</v>
      </c>
      <c r="E250" s="65">
        <f t="shared" si="14"/>
        <v>7.5</v>
      </c>
      <c r="F250" s="74" t="s">
        <v>13</v>
      </c>
      <c r="G250" s="19"/>
      <c r="H250" s="20"/>
      <c r="J250" s="133"/>
      <c r="K250" s="138"/>
      <c r="L250" s="133"/>
      <c r="M250" s="139"/>
    </row>
    <row r="251" spans="1:13" s="4" customFormat="1" ht="35.1" customHeight="1" x14ac:dyDescent="0.3">
      <c r="A251" s="13"/>
      <c r="B251" s="14"/>
      <c r="C251" s="15"/>
      <c r="D251" s="193" t="s">
        <v>491</v>
      </c>
      <c r="E251" s="65">
        <f t="shared" si="14"/>
        <v>7.5</v>
      </c>
      <c r="F251" s="74" t="s">
        <v>13</v>
      </c>
      <c r="G251" s="19"/>
      <c r="H251" s="20"/>
      <c r="J251" s="133"/>
      <c r="K251" s="138"/>
      <c r="L251" s="133"/>
      <c r="M251" s="139"/>
    </row>
    <row r="252" spans="1:13" s="4" customFormat="1" ht="35.1" customHeight="1" x14ac:dyDescent="0.3">
      <c r="A252" s="13"/>
      <c r="B252" s="14"/>
      <c r="C252" s="15"/>
      <c r="D252" s="193" t="s">
        <v>492</v>
      </c>
      <c r="E252" s="65">
        <f>2*1.5*(3.5+1)</f>
        <v>13.5</v>
      </c>
      <c r="F252" s="74" t="s">
        <v>13</v>
      </c>
      <c r="G252" s="19"/>
      <c r="H252" s="20"/>
      <c r="J252" s="133"/>
      <c r="K252" s="138"/>
      <c r="L252" s="133"/>
      <c r="M252" s="139"/>
    </row>
    <row r="253" spans="1:13" s="4" customFormat="1" ht="35.1" customHeight="1" x14ac:dyDescent="0.3">
      <c r="A253" s="13"/>
      <c r="B253" s="14"/>
      <c r="C253" s="15"/>
      <c r="D253" s="193" t="s">
        <v>493</v>
      </c>
      <c r="E253" s="65">
        <f t="shared" si="14"/>
        <v>7.5</v>
      </c>
      <c r="F253" s="74" t="s">
        <v>13</v>
      </c>
      <c r="G253" s="19"/>
      <c r="H253" s="20"/>
      <c r="J253" s="133"/>
      <c r="K253" s="138"/>
      <c r="L253" s="133"/>
      <c r="M253" s="139"/>
    </row>
    <row r="254" spans="1:13" s="4" customFormat="1" ht="35.1" customHeight="1" x14ac:dyDescent="0.3">
      <c r="A254" s="13"/>
      <c r="B254" s="14"/>
      <c r="C254" s="15"/>
      <c r="D254" s="193" t="s">
        <v>494</v>
      </c>
      <c r="E254" s="65">
        <f>2*1.5*(3.5+1)</f>
        <v>13.5</v>
      </c>
      <c r="F254" s="74" t="s">
        <v>13</v>
      </c>
      <c r="G254" s="19"/>
      <c r="H254" s="20"/>
      <c r="J254" s="133"/>
      <c r="K254" s="138"/>
      <c r="L254" s="133"/>
      <c r="M254" s="139"/>
    </row>
    <row r="255" spans="1:13" s="4" customFormat="1" ht="35.1" customHeight="1" x14ac:dyDescent="0.3">
      <c r="A255" s="13"/>
      <c r="B255" s="14"/>
      <c r="C255" s="15"/>
      <c r="D255" s="193" t="s">
        <v>495</v>
      </c>
      <c r="E255" s="65">
        <f t="shared" si="14"/>
        <v>7.5</v>
      </c>
      <c r="F255" s="74" t="s">
        <v>13</v>
      </c>
      <c r="G255" s="19"/>
      <c r="H255" s="20"/>
      <c r="J255" s="133"/>
      <c r="K255" s="138"/>
      <c r="L255" s="133"/>
      <c r="M255" s="139"/>
    </row>
    <row r="256" spans="1:13" s="4" customFormat="1" ht="35.1" customHeight="1" x14ac:dyDescent="0.3">
      <c r="A256" s="13"/>
      <c r="B256" s="14"/>
      <c r="C256" s="15"/>
      <c r="D256" s="193" t="s">
        <v>496</v>
      </c>
      <c r="E256" s="65">
        <f t="shared" si="14"/>
        <v>7.5</v>
      </c>
      <c r="F256" s="74" t="s">
        <v>13</v>
      </c>
      <c r="G256" s="19"/>
      <c r="H256" s="20"/>
      <c r="J256" s="133"/>
      <c r="K256" s="138"/>
      <c r="L256" s="133"/>
      <c r="M256" s="139"/>
    </row>
    <row r="257" spans="1:13" s="4" customFormat="1" ht="35.1" customHeight="1" x14ac:dyDescent="0.3">
      <c r="A257" s="13"/>
      <c r="B257" s="14"/>
      <c r="C257" s="15"/>
      <c r="D257" s="193" t="s">
        <v>497</v>
      </c>
      <c r="E257" s="65">
        <f t="shared" si="14"/>
        <v>7.5</v>
      </c>
      <c r="F257" s="74" t="s">
        <v>13</v>
      </c>
      <c r="G257" s="19"/>
      <c r="H257" s="20"/>
      <c r="J257" s="133"/>
      <c r="K257" s="138"/>
      <c r="L257" s="133"/>
      <c r="M257" s="139"/>
    </row>
    <row r="258" spans="1:13" s="4" customFormat="1" ht="35.1" customHeight="1" x14ac:dyDescent="0.3">
      <c r="A258" s="13"/>
      <c r="B258" s="14"/>
      <c r="C258" s="15"/>
      <c r="D258" s="193" t="s">
        <v>498</v>
      </c>
      <c r="E258" s="65">
        <f t="shared" si="14"/>
        <v>7.5</v>
      </c>
      <c r="F258" s="74" t="s">
        <v>13</v>
      </c>
      <c r="G258" s="19"/>
      <c r="H258" s="20"/>
      <c r="J258" s="133"/>
      <c r="K258" s="138"/>
      <c r="L258" s="133"/>
      <c r="M258" s="139"/>
    </row>
    <row r="259" spans="1:13" s="4" customFormat="1" ht="35.1" customHeight="1" x14ac:dyDescent="0.3">
      <c r="A259" s="13"/>
      <c r="B259" s="14"/>
      <c r="C259" s="15"/>
      <c r="D259" s="193" t="s">
        <v>499</v>
      </c>
      <c r="E259" s="65">
        <f t="shared" si="14"/>
        <v>7.5</v>
      </c>
      <c r="F259" s="74" t="s">
        <v>13</v>
      </c>
      <c r="G259" s="19"/>
      <c r="H259" s="20"/>
      <c r="J259" s="133"/>
      <c r="K259" s="138"/>
      <c r="L259" s="133"/>
      <c r="M259" s="139"/>
    </row>
    <row r="260" spans="1:13" s="4" customFormat="1" ht="35.1" customHeight="1" x14ac:dyDescent="0.3">
      <c r="A260" s="13"/>
      <c r="B260" s="14"/>
      <c r="C260" s="15"/>
      <c r="D260" s="193" t="s">
        <v>500</v>
      </c>
      <c r="E260" s="65">
        <f>2*1.5*(3.5+1)</f>
        <v>13.5</v>
      </c>
      <c r="F260" s="74" t="s">
        <v>13</v>
      </c>
      <c r="G260" s="19"/>
      <c r="H260" s="20"/>
      <c r="J260" s="133"/>
      <c r="K260" s="138"/>
      <c r="L260" s="133"/>
      <c r="M260" s="139"/>
    </row>
    <row r="261" spans="1:13" s="4" customFormat="1" ht="35.1" customHeight="1" x14ac:dyDescent="0.3">
      <c r="A261" s="13"/>
      <c r="B261" s="14"/>
      <c r="C261" s="15"/>
      <c r="D261" s="193" t="s">
        <v>501</v>
      </c>
      <c r="E261" s="65">
        <f t="shared" si="14"/>
        <v>7.5</v>
      </c>
      <c r="F261" s="74" t="s">
        <v>13</v>
      </c>
      <c r="G261" s="19"/>
      <c r="H261" s="20"/>
      <c r="J261" s="133"/>
      <c r="K261" s="138"/>
      <c r="L261" s="133"/>
      <c r="M261" s="139"/>
    </row>
    <row r="262" spans="1:13" s="4" customFormat="1" ht="35.1" customHeight="1" x14ac:dyDescent="0.3">
      <c r="A262" s="13"/>
      <c r="B262" s="14"/>
      <c r="C262" s="15"/>
      <c r="D262" s="193" t="s">
        <v>502</v>
      </c>
      <c r="E262" s="65">
        <f t="shared" si="14"/>
        <v>7.5</v>
      </c>
      <c r="F262" s="74" t="s">
        <v>13</v>
      </c>
      <c r="G262" s="19"/>
      <c r="H262" s="20"/>
      <c r="J262" s="133"/>
      <c r="K262" s="138"/>
      <c r="L262" s="133"/>
      <c r="M262" s="139"/>
    </row>
    <row r="263" spans="1:13" s="4" customFormat="1" ht="35.1" customHeight="1" x14ac:dyDescent="0.3">
      <c r="A263" s="13"/>
      <c r="B263" s="14"/>
      <c r="C263" s="15"/>
      <c r="D263" s="193" t="s">
        <v>503</v>
      </c>
      <c r="E263" s="65">
        <f t="shared" si="14"/>
        <v>7.5</v>
      </c>
      <c r="F263" s="74" t="s">
        <v>13</v>
      </c>
      <c r="G263" s="19"/>
      <c r="H263" s="20"/>
      <c r="J263" s="133"/>
      <c r="K263" s="138"/>
      <c r="L263" s="133"/>
      <c r="M263" s="139"/>
    </row>
    <row r="264" spans="1:13" s="4" customFormat="1" ht="35.1" customHeight="1" x14ac:dyDescent="0.3">
      <c r="A264" s="13"/>
      <c r="B264" s="14"/>
      <c r="C264" s="15"/>
      <c r="D264" s="193" t="s">
        <v>504</v>
      </c>
      <c r="E264" s="65">
        <f>2*1.5*(3.5+1)</f>
        <v>13.5</v>
      </c>
      <c r="F264" s="74" t="s">
        <v>13</v>
      </c>
      <c r="G264" s="19"/>
      <c r="H264" s="20"/>
      <c r="J264" s="133"/>
      <c r="K264" s="138"/>
      <c r="L264" s="133"/>
      <c r="M264" s="139"/>
    </row>
    <row r="265" spans="1:13" s="4" customFormat="1" ht="35.1" customHeight="1" x14ac:dyDescent="0.3">
      <c r="A265" s="13"/>
      <c r="B265" s="14"/>
      <c r="C265" s="15"/>
      <c r="D265" s="193" t="s">
        <v>505</v>
      </c>
      <c r="E265" s="65">
        <f t="shared" si="14"/>
        <v>7.5</v>
      </c>
      <c r="F265" s="74" t="s">
        <v>13</v>
      </c>
      <c r="G265" s="19"/>
      <c r="H265" s="20"/>
      <c r="J265" s="133"/>
      <c r="K265" s="138"/>
      <c r="L265" s="133"/>
      <c r="M265" s="139"/>
    </row>
    <row r="266" spans="1:13" s="4" customFormat="1" ht="35.1" customHeight="1" x14ac:dyDescent="0.3">
      <c r="A266" s="13"/>
      <c r="B266" s="14"/>
      <c r="C266" s="15"/>
      <c r="D266" s="193" t="s">
        <v>506</v>
      </c>
      <c r="E266" s="65">
        <f>2*1.5*(3.5+1)</f>
        <v>13.5</v>
      </c>
      <c r="F266" s="74" t="s">
        <v>13</v>
      </c>
      <c r="G266" s="19"/>
      <c r="H266" s="20"/>
      <c r="J266" s="133"/>
      <c r="K266" s="138"/>
      <c r="L266" s="133"/>
      <c r="M266" s="139"/>
    </row>
    <row r="267" spans="1:13" s="4" customFormat="1" ht="35.1" customHeight="1" x14ac:dyDescent="0.3">
      <c r="A267" s="13"/>
      <c r="B267" s="14"/>
      <c r="C267" s="15"/>
      <c r="D267" s="193" t="s">
        <v>507</v>
      </c>
      <c r="E267" s="65">
        <f t="shared" si="14"/>
        <v>7.5</v>
      </c>
      <c r="F267" s="74" t="s">
        <v>13</v>
      </c>
      <c r="G267" s="19"/>
      <c r="H267" s="20"/>
      <c r="J267" s="133"/>
      <c r="K267" s="138"/>
      <c r="L267" s="133"/>
      <c r="M267" s="139"/>
    </row>
    <row r="268" spans="1:13" s="4" customFormat="1" ht="35.1" customHeight="1" x14ac:dyDescent="0.3">
      <c r="A268" s="13"/>
      <c r="B268" s="14"/>
      <c r="C268" s="15"/>
      <c r="D268" s="193" t="s">
        <v>508</v>
      </c>
      <c r="E268" s="65">
        <f>2*1.5*(3.5+1)</f>
        <v>13.5</v>
      </c>
      <c r="F268" s="74" t="s">
        <v>13</v>
      </c>
      <c r="G268" s="19"/>
      <c r="H268" s="20"/>
      <c r="J268" s="133"/>
      <c r="K268" s="138"/>
      <c r="L268" s="133"/>
      <c r="M268" s="139"/>
    </row>
    <row r="269" spans="1:13" s="4" customFormat="1" ht="35.1" customHeight="1" x14ac:dyDescent="0.3">
      <c r="A269" s="13"/>
      <c r="B269" s="14"/>
      <c r="C269" s="15"/>
      <c r="D269" s="193" t="s">
        <v>509</v>
      </c>
      <c r="E269" s="65">
        <f t="shared" si="14"/>
        <v>7.5</v>
      </c>
      <c r="F269" s="74" t="s">
        <v>13</v>
      </c>
      <c r="G269" s="19"/>
      <c r="H269" s="20"/>
      <c r="J269" s="133"/>
      <c r="K269" s="138"/>
      <c r="L269" s="133"/>
      <c r="M269" s="139"/>
    </row>
    <row r="270" spans="1:13" s="4" customFormat="1" ht="35.1" customHeight="1" x14ac:dyDescent="0.3">
      <c r="A270" s="13"/>
      <c r="B270" s="14"/>
      <c r="C270" s="15"/>
      <c r="D270" s="193" t="s">
        <v>510</v>
      </c>
      <c r="E270" s="65">
        <f t="shared" si="14"/>
        <v>7.5</v>
      </c>
      <c r="F270" s="74" t="s">
        <v>13</v>
      </c>
      <c r="G270" s="19"/>
      <c r="H270" s="20"/>
      <c r="J270" s="133"/>
      <c r="K270" s="138"/>
      <c r="L270" s="133"/>
      <c r="M270" s="139"/>
    </row>
    <row r="271" spans="1:13" s="4" customFormat="1" ht="35.1" customHeight="1" x14ac:dyDescent="0.3">
      <c r="A271" s="13"/>
      <c r="B271" s="14"/>
      <c r="C271" s="15"/>
      <c r="D271" s="243" t="s">
        <v>358</v>
      </c>
      <c r="E271" s="244">
        <f>SUM(E247:E270)</f>
        <v>216</v>
      </c>
      <c r="F271" s="245" t="s">
        <v>13</v>
      </c>
      <c r="G271" s="19"/>
      <c r="H271" s="20"/>
      <c r="J271" s="133"/>
      <c r="K271" s="138"/>
      <c r="L271" s="133"/>
      <c r="M271" s="139"/>
    </row>
    <row r="272" spans="1:13" s="4" customFormat="1" ht="35.1" customHeight="1" x14ac:dyDescent="0.3">
      <c r="A272" s="13"/>
      <c r="B272" s="14"/>
      <c r="C272" s="15"/>
      <c r="D272" s="16"/>
      <c r="E272" s="65"/>
      <c r="F272" s="74"/>
      <c r="G272" s="19"/>
      <c r="H272" s="20"/>
      <c r="J272" s="133"/>
      <c r="K272" s="138"/>
      <c r="L272" s="133"/>
      <c r="M272" s="139"/>
    </row>
    <row r="273" spans="1:13" s="4" customFormat="1" ht="35.1" customHeight="1" x14ac:dyDescent="0.3">
      <c r="A273" s="13"/>
      <c r="B273" s="14"/>
      <c r="C273" s="15"/>
      <c r="D273" s="16" t="s">
        <v>360</v>
      </c>
      <c r="E273" s="25"/>
      <c r="F273" s="26"/>
      <c r="G273" s="19"/>
      <c r="H273" s="20"/>
      <c r="J273" s="133"/>
      <c r="K273" s="138"/>
      <c r="L273" s="133"/>
      <c r="M273" s="139"/>
    </row>
    <row r="274" spans="1:13" s="4" customFormat="1" ht="35.1" customHeight="1" x14ac:dyDescent="0.3">
      <c r="A274" s="13"/>
      <c r="B274" s="14"/>
      <c r="C274" s="15"/>
      <c r="D274" s="193" t="s">
        <v>511</v>
      </c>
      <c r="E274" s="65">
        <f>2*1.5*3.5</f>
        <v>10.5</v>
      </c>
      <c r="F274" s="74" t="s">
        <v>13</v>
      </c>
      <c r="G274" s="19"/>
      <c r="H274" s="20"/>
      <c r="J274" s="133"/>
      <c r="K274" s="138"/>
      <c r="L274" s="133"/>
      <c r="M274" s="139"/>
    </row>
    <row r="275" spans="1:13" s="4" customFormat="1" ht="35.1" customHeight="1" x14ac:dyDescent="0.3">
      <c r="A275" s="13"/>
      <c r="B275" s="14"/>
      <c r="C275" s="15"/>
      <c r="D275" s="193" t="s">
        <v>512</v>
      </c>
      <c r="E275" s="65">
        <f t="shared" ref="E275" si="15">2*1.5*2.5</f>
        <v>7.5</v>
      </c>
      <c r="F275" s="74" t="s">
        <v>13</v>
      </c>
      <c r="G275" s="19"/>
      <c r="H275" s="20"/>
      <c r="J275" s="133"/>
      <c r="K275" s="138"/>
      <c r="L275" s="133"/>
      <c r="M275" s="139"/>
    </row>
    <row r="276" spans="1:13" s="4" customFormat="1" ht="35.1" customHeight="1" x14ac:dyDescent="0.3">
      <c r="A276" s="13"/>
      <c r="B276" s="14"/>
      <c r="C276" s="15"/>
      <c r="D276" s="193" t="s">
        <v>513</v>
      </c>
      <c r="E276" s="65">
        <f>2*1.5*3.5</f>
        <v>10.5</v>
      </c>
      <c r="F276" s="74" t="s">
        <v>13</v>
      </c>
      <c r="G276" s="19"/>
      <c r="H276" s="20"/>
      <c r="J276" s="133"/>
      <c r="K276" s="138"/>
      <c r="L276" s="133"/>
      <c r="M276" s="139"/>
    </row>
    <row r="277" spans="1:13" s="4" customFormat="1" ht="35.1" customHeight="1" x14ac:dyDescent="0.3">
      <c r="A277" s="13"/>
      <c r="B277" s="14"/>
      <c r="C277" s="15"/>
      <c r="D277" s="193" t="s">
        <v>514</v>
      </c>
      <c r="E277" s="65">
        <f>2*1.5*(3.5+1)</f>
        <v>13.5</v>
      </c>
      <c r="F277" s="74" t="s">
        <v>13</v>
      </c>
      <c r="G277" s="19"/>
      <c r="H277" s="20"/>
      <c r="J277" s="133"/>
      <c r="K277" s="138"/>
      <c r="L277" s="133"/>
      <c r="M277" s="139"/>
    </row>
    <row r="278" spans="1:13" s="4" customFormat="1" ht="35.1" customHeight="1" x14ac:dyDescent="0.3">
      <c r="A278" s="13"/>
      <c r="B278" s="14"/>
      <c r="C278" s="15"/>
      <c r="D278" s="193" t="s">
        <v>515</v>
      </c>
      <c r="E278" s="65">
        <f>2*1.5*3.5</f>
        <v>10.5</v>
      </c>
      <c r="F278" s="74" t="s">
        <v>13</v>
      </c>
      <c r="G278" s="19"/>
      <c r="H278" s="20"/>
      <c r="J278" s="133"/>
      <c r="K278" s="138"/>
      <c r="L278" s="133"/>
      <c r="M278" s="139"/>
    </row>
    <row r="279" spans="1:13" s="4" customFormat="1" ht="35.1" customHeight="1" x14ac:dyDescent="0.3">
      <c r="A279" s="13"/>
      <c r="B279" s="14"/>
      <c r="C279" s="15"/>
      <c r="D279" s="193" t="s">
        <v>516</v>
      </c>
      <c r="E279" s="65">
        <f t="shared" ref="E279:E281" si="16">2*1.5*2.5</f>
        <v>7.5</v>
      </c>
      <c r="F279" s="74" t="s">
        <v>13</v>
      </c>
      <c r="G279" s="19"/>
      <c r="H279" s="20"/>
      <c r="J279" s="133"/>
      <c r="K279" s="138"/>
      <c r="L279" s="133"/>
      <c r="M279" s="139"/>
    </row>
    <row r="280" spans="1:13" s="4" customFormat="1" ht="35.1" customHeight="1" x14ac:dyDescent="0.3">
      <c r="A280" s="13"/>
      <c r="B280" s="14"/>
      <c r="C280" s="15"/>
      <c r="D280" s="193" t="s">
        <v>517</v>
      </c>
      <c r="E280" s="65">
        <f>2*1.5*3.5</f>
        <v>10.5</v>
      </c>
      <c r="F280" s="74" t="s">
        <v>13</v>
      </c>
      <c r="G280" s="19"/>
      <c r="H280" s="20"/>
      <c r="J280" s="133"/>
      <c r="K280" s="138"/>
      <c r="L280" s="133"/>
      <c r="M280" s="139"/>
    </row>
    <row r="281" spans="1:13" s="4" customFormat="1" ht="35.1" customHeight="1" x14ac:dyDescent="0.3">
      <c r="A281" s="13"/>
      <c r="B281" s="14"/>
      <c r="C281" s="15"/>
      <c r="D281" s="193" t="s">
        <v>518</v>
      </c>
      <c r="E281" s="65">
        <f t="shared" si="16"/>
        <v>7.5</v>
      </c>
      <c r="F281" s="74" t="s">
        <v>13</v>
      </c>
      <c r="G281" s="19"/>
      <c r="H281" s="20"/>
      <c r="J281" s="133"/>
      <c r="K281" s="138"/>
      <c r="L281" s="133"/>
      <c r="M281" s="139"/>
    </row>
    <row r="282" spans="1:13" s="4" customFormat="1" ht="35.1" customHeight="1" x14ac:dyDescent="0.3">
      <c r="A282" s="13"/>
      <c r="B282" s="14"/>
      <c r="C282" s="15"/>
      <c r="D282" s="193" t="s">
        <v>519</v>
      </c>
      <c r="E282" s="65">
        <f>2*1.5*3.5</f>
        <v>10.5</v>
      </c>
      <c r="F282" s="74" t="s">
        <v>13</v>
      </c>
      <c r="G282" s="19"/>
      <c r="H282" s="20"/>
      <c r="J282" s="133"/>
      <c r="K282" s="138"/>
      <c r="L282" s="133"/>
      <c r="M282" s="139"/>
    </row>
    <row r="283" spans="1:13" s="4" customFormat="1" ht="35.1" customHeight="1" x14ac:dyDescent="0.3">
      <c r="A283" s="13"/>
      <c r="B283" s="14"/>
      <c r="C283" s="15"/>
      <c r="D283" s="193" t="s">
        <v>520</v>
      </c>
      <c r="E283" s="65">
        <f>2*1.5*(3.5+1)</f>
        <v>13.5</v>
      </c>
      <c r="F283" s="74" t="s">
        <v>13</v>
      </c>
      <c r="G283" s="19"/>
      <c r="H283" s="20"/>
      <c r="J283" s="133"/>
      <c r="K283" s="138"/>
      <c r="L283" s="133"/>
      <c r="M283" s="139"/>
    </row>
    <row r="284" spans="1:13" s="4" customFormat="1" ht="35.1" customHeight="1" x14ac:dyDescent="0.3">
      <c r="A284" s="13"/>
      <c r="B284" s="14"/>
      <c r="C284" s="15"/>
      <c r="D284" s="193" t="s">
        <v>521</v>
      </c>
      <c r="E284" s="65">
        <f>2*1.5*3.5</f>
        <v>10.5</v>
      </c>
      <c r="F284" s="74" t="s">
        <v>13</v>
      </c>
      <c r="G284" s="19"/>
      <c r="H284" s="20"/>
      <c r="J284" s="133"/>
      <c r="K284" s="138"/>
      <c r="L284" s="133"/>
      <c r="M284" s="139"/>
    </row>
    <row r="285" spans="1:13" s="4" customFormat="1" ht="35.1" customHeight="1" x14ac:dyDescent="0.3">
      <c r="A285" s="13"/>
      <c r="B285" s="14"/>
      <c r="C285" s="15"/>
      <c r="D285" s="193" t="s">
        <v>522</v>
      </c>
      <c r="E285" s="65">
        <f t="shared" ref="E285" si="17">2*1.5*2.5</f>
        <v>7.5</v>
      </c>
      <c r="F285" s="74" t="s">
        <v>13</v>
      </c>
      <c r="G285" s="19"/>
      <c r="H285" s="20"/>
      <c r="J285" s="133"/>
      <c r="K285" s="138"/>
      <c r="L285" s="133"/>
      <c r="M285" s="139"/>
    </row>
    <row r="286" spans="1:13" s="4" customFormat="1" ht="35.1" customHeight="1" x14ac:dyDescent="0.3">
      <c r="A286" s="13"/>
      <c r="B286" s="14"/>
      <c r="C286" s="15"/>
      <c r="D286" s="193" t="s">
        <v>523</v>
      </c>
      <c r="E286" s="65">
        <f>2*1.5*3.5</f>
        <v>10.5</v>
      </c>
      <c r="F286" s="74" t="s">
        <v>13</v>
      </c>
      <c r="G286" s="19"/>
      <c r="H286" s="20"/>
      <c r="J286" s="133"/>
      <c r="K286" s="138"/>
      <c r="L286" s="133"/>
      <c r="M286" s="139"/>
    </row>
    <row r="287" spans="1:13" s="4" customFormat="1" ht="35.1" customHeight="1" x14ac:dyDescent="0.3">
      <c r="A287" s="13"/>
      <c r="B287" s="14"/>
      <c r="C287" s="15"/>
      <c r="D287" s="193" t="s">
        <v>524</v>
      </c>
      <c r="E287" s="65">
        <f>2*1.5*(3.5+1)</f>
        <v>13.5</v>
      </c>
      <c r="F287" s="74" t="s">
        <v>13</v>
      </c>
      <c r="G287" s="19"/>
      <c r="H287" s="20"/>
      <c r="J287" s="133"/>
      <c r="K287" s="138"/>
      <c r="L287" s="133"/>
      <c r="M287" s="139"/>
    </row>
    <row r="288" spans="1:13" s="4" customFormat="1" ht="35.1" customHeight="1" x14ac:dyDescent="0.3">
      <c r="A288" s="13"/>
      <c r="B288" s="14"/>
      <c r="C288" s="15"/>
      <c r="D288" s="193" t="s">
        <v>525</v>
      </c>
      <c r="E288" s="65">
        <f>2*1.5*3.5</f>
        <v>10.5</v>
      </c>
      <c r="F288" s="74" t="s">
        <v>13</v>
      </c>
      <c r="G288" s="19"/>
      <c r="H288" s="20"/>
      <c r="J288" s="133"/>
      <c r="K288" s="138"/>
      <c r="L288" s="133"/>
      <c r="M288" s="139"/>
    </row>
    <row r="289" spans="1:13" s="4" customFormat="1" ht="35.1" customHeight="1" x14ac:dyDescent="0.3">
      <c r="A289" s="13"/>
      <c r="B289" s="14"/>
      <c r="C289" s="15"/>
      <c r="D289" s="193" t="s">
        <v>526</v>
      </c>
      <c r="E289" s="65">
        <f t="shared" ref="E289" si="18">2*1.5*2.5</f>
        <v>7.5</v>
      </c>
      <c r="F289" s="74" t="s">
        <v>13</v>
      </c>
      <c r="G289" s="19"/>
      <c r="H289" s="20"/>
      <c r="J289" s="133"/>
      <c r="K289" s="138"/>
      <c r="L289" s="133"/>
      <c r="M289" s="139"/>
    </row>
    <row r="290" spans="1:13" s="4" customFormat="1" ht="35.1" customHeight="1" x14ac:dyDescent="0.3">
      <c r="A290" s="13"/>
      <c r="B290" s="14"/>
      <c r="C290" s="15"/>
      <c r="D290" s="193" t="s">
        <v>527</v>
      </c>
      <c r="E290" s="65">
        <f>2*1.5*3.5</f>
        <v>10.5</v>
      </c>
      <c r="F290" s="74" t="s">
        <v>13</v>
      </c>
      <c r="G290" s="19"/>
      <c r="H290" s="20"/>
      <c r="J290" s="133"/>
      <c r="K290" s="138"/>
      <c r="L290" s="133"/>
      <c r="M290" s="139"/>
    </row>
    <row r="291" spans="1:13" s="4" customFormat="1" ht="35.1" customHeight="1" x14ac:dyDescent="0.3">
      <c r="A291" s="13"/>
      <c r="B291" s="14"/>
      <c r="C291" s="15"/>
      <c r="D291" s="193" t="s">
        <v>528</v>
      </c>
      <c r="E291" s="65">
        <f>2*1.5*(3.5+1)</f>
        <v>13.5</v>
      </c>
      <c r="F291" s="74" t="s">
        <v>13</v>
      </c>
      <c r="G291" s="19"/>
      <c r="H291" s="20"/>
      <c r="J291" s="133"/>
      <c r="K291" s="138"/>
      <c r="L291" s="133"/>
      <c r="M291" s="139"/>
    </row>
    <row r="292" spans="1:13" s="4" customFormat="1" ht="35.1" customHeight="1" x14ac:dyDescent="0.3">
      <c r="A292" s="13"/>
      <c r="B292" s="14"/>
      <c r="C292" s="15"/>
      <c r="D292" s="193" t="s">
        <v>529</v>
      </c>
      <c r="E292" s="65">
        <f>2*1.5*3.5</f>
        <v>10.5</v>
      </c>
      <c r="F292" s="74" t="s">
        <v>13</v>
      </c>
      <c r="G292" s="19"/>
      <c r="H292" s="20"/>
      <c r="J292" s="133"/>
      <c r="K292" s="138"/>
      <c r="L292" s="133"/>
      <c r="M292" s="139"/>
    </row>
    <row r="293" spans="1:13" s="4" customFormat="1" ht="35.1" customHeight="1" x14ac:dyDescent="0.3">
      <c r="A293" s="13"/>
      <c r="B293" s="14"/>
      <c r="C293" s="15"/>
      <c r="D293" s="193" t="s">
        <v>530</v>
      </c>
      <c r="E293" s="65">
        <f t="shared" ref="E293:E295" si="19">2*1.5*2.5</f>
        <v>7.5</v>
      </c>
      <c r="F293" s="74" t="s">
        <v>13</v>
      </c>
      <c r="G293" s="19"/>
      <c r="H293" s="20"/>
      <c r="J293" s="133"/>
      <c r="K293" s="138"/>
      <c r="L293" s="133"/>
      <c r="M293" s="139"/>
    </row>
    <row r="294" spans="1:13" s="4" customFormat="1" ht="35.1" customHeight="1" x14ac:dyDescent="0.3">
      <c r="A294" s="13"/>
      <c r="B294" s="14"/>
      <c r="C294" s="15"/>
      <c r="D294" s="193" t="s">
        <v>531</v>
      </c>
      <c r="E294" s="65">
        <f>2*1.5*3.5</f>
        <v>10.5</v>
      </c>
      <c r="F294" s="74" t="s">
        <v>13</v>
      </c>
      <c r="G294" s="19"/>
      <c r="H294" s="20"/>
      <c r="J294" s="133"/>
      <c r="K294" s="138"/>
      <c r="L294" s="133"/>
      <c r="M294" s="139"/>
    </row>
    <row r="295" spans="1:13" s="4" customFormat="1" ht="35.1" customHeight="1" x14ac:dyDescent="0.3">
      <c r="A295" s="13"/>
      <c r="B295" s="14"/>
      <c r="C295" s="15"/>
      <c r="D295" s="193" t="s">
        <v>532</v>
      </c>
      <c r="E295" s="65">
        <f t="shared" si="19"/>
        <v>7.5</v>
      </c>
      <c r="F295" s="74" t="s">
        <v>13</v>
      </c>
      <c r="G295" s="19"/>
      <c r="H295" s="20"/>
      <c r="J295" s="133"/>
      <c r="K295" s="138"/>
      <c r="L295" s="133"/>
      <c r="M295" s="139"/>
    </row>
    <row r="296" spans="1:13" s="4" customFormat="1" ht="35.1" customHeight="1" x14ac:dyDescent="0.3">
      <c r="A296" s="13"/>
      <c r="B296" s="14"/>
      <c r="C296" s="15"/>
      <c r="D296" s="193" t="s">
        <v>533</v>
      </c>
      <c r="E296" s="65">
        <f>2*1.5*3.5</f>
        <v>10.5</v>
      </c>
      <c r="F296" s="74" t="s">
        <v>13</v>
      </c>
      <c r="G296" s="19"/>
      <c r="H296" s="20"/>
      <c r="J296" s="133"/>
      <c r="K296" s="138"/>
      <c r="L296" s="133"/>
      <c r="M296" s="139"/>
    </row>
    <row r="297" spans="1:13" s="4" customFormat="1" ht="35.1" customHeight="1" x14ac:dyDescent="0.3">
      <c r="A297" s="13"/>
      <c r="B297" s="14"/>
      <c r="C297" s="15"/>
      <c r="D297" s="193" t="s">
        <v>534</v>
      </c>
      <c r="E297" s="65">
        <f>2*1.5*(3.5+1)</f>
        <v>13.5</v>
      </c>
      <c r="F297" s="74" t="s">
        <v>13</v>
      </c>
      <c r="G297" s="19"/>
      <c r="H297" s="20"/>
      <c r="J297" s="133"/>
      <c r="K297" s="138"/>
      <c r="L297" s="133"/>
      <c r="M297" s="139"/>
    </row>
    <row r="298" spans="1:13" s="4" customFormat="1" ht="35.1" customHeight="1" x14ac:dyDescent="0.3">
      <c r="A298" s="13"/>
      <c r="B298" s="14"/>
      <c r="C298" s="15"/>
      <c r="D298" s="193" t="s">
        <v>535</v>
      </c>
      <c r="E298" s="65">
        <f>2*1.5*3.5</f>
        <v>10.5</v>
      </c>
      <c r="F298" s="74" t="s">
        <v>13</v>
      </c>
      <c r="G298" s="19"/>
      <c r="H298" s="20"/>
      <c r="J298" s="133"/>
      <c r="K298" s="138"/>
      <c r="L298" s="133"/>
      <c r="M298" s="139"/>
    </row>
    <row r="299" spans="1:13" s="4" customFormat="1" ht="35.1" customHeight="1" x14ac:dyDescent="0.3">
      <c r="A299" s="13"/>
      <c r="B299" s="14"/>
      <c r="C299" s="15"/>
      <c r="D299" s="193" t="s">
        <v>536</v>
      </c>
      <c r="E299" s="65">
        <f>2*1.5*(3.5+1)</f>
        <v>13.5</v>
      </c>
      <c r="F299" s="74" t="s">
        <v>13</v>
      </c>
      <c r="G299" s="19"/>
      <c r="H299" s="20"/>
      <c r="J299" s="133"/>
      <c r="K299" s="138"/>
      <c r="L299" s="133"/>
      <c r="M299" s="139"/>
    </row>
    <row r="300" spans="1:13" s="4" customFormat="1" ht="35.1" customHeight="1" x14ac:dyDescent="0.3">
      <c r="A300" s="13"/>
      <c r="B300" s="14"/>
      <c r="C300" s="15"/>
      <c r="D300" s="193" t="s">
        <v>537</v>
      </c>
      <c r="E300" s="65">
        <f>2*1.5*3.5</f>
        <v>10.5</v>
      </c>
      <c r="F300" s="74" t="s">
        <v>13</v>
      </c>
      <c r="G300" s="19"/>
      <c r="H300" s="20"/>
      <c r="J300" s="133"/>
      <c r="K300" s="138"/>
      <c r="L300" s="133"/>
      <c r="M300" s="139"/>
    </row>
    <row r="301" spans="1:13" s="4" customFormat="1" ht="35.1" customHeight="1" x14ac:dyDescent="0.3">
      <c r="A301" s="13"/>
      <c r="B301" s="14"/>
      <c r="C301" s="15"/>
      <c r="D301" s="193" t="s">
        <v>538</v>
      </c>
      <c r="E301" s="65">
        <f t="shared" ref="E301" si="20">2*1.5*2.5</f>
        <v>7.5</v>
      </c>
      <c r="F301" s="74" t="s">
        <v>13</v>
      </c>
      <c r="G301" s="19"/>
      <c r="H301" s="20"/>
      <c r="J301" s="133"/>
      <c r="K301" s="138"/>
      <c r="L301" s="133"/>
      <c r="M301" s="139"/>
    </row>
    <row r="302" spans="1:13" s="4" customFormat="1" ht="35.1" customHeight="1" x14ac:dyDescent="0.3">
      <c r="A302" s="13"/>
      <c r="B302" s="14"/>
      <c r="C302" s="15"/>
      <c r="D302" s="243" t="s">
        <v>361</v>
      </c>
      <c r="E302" s="244">
        <f>SUM(E274:E301)</f>
        <v>288</v>
      </c>
      <c r="F302" s="245" t="s">
        <v>13</v>
      </c>
      <c r="G302" s="19"/>
      <c r="H302" s="20"/>
      <c r="J302" s="133"/>
      <c r="K302" s="138"/>
      <c r="L302" s="133"/>
      <c r="M302" s="139"/>
    </row>
    <row r="303" spans="1:13" s="4" customFormat="1" ht="35.1" customHeight="1" x14ac:dyDescent="0.3">
      <c r="A303" s="13"/>
      <c r="B303" s="14"/>
      <c r="C303" s="15"/>
      <c r="D303" s="243" t="s">
        <v>362</v>
      </c>
      <c r="E303" s="244">
        <f>E302+E271+E243</f>
        <v>669</v>
      </c>
      <c r="F303" s="245" t="s">
        <v>13</v>
      </c>
      <c r="G303" s="19"/>
      <c r="H303" s="20"/>
      <c r="J303" s="133"/>
      <c r="K303" s="138"/>
      <c r="L303" s="133"/>
      <c r="M303" s="139"/>
    </row>
    <row r="304" spans="1:13" s="4" customFormat="1" ht="35.1" customHeight="1" x14ac:dyDescent="0.3">
      <c r="A304" s="13"/>
      <c r="B304" s="14"/>
      <c r="C304" s="15"/>
      <c r="D304" s="24"/>
      <c r="E304" s="25"/>
      <c r="F304" s="26"/>
      <c r="G304" s="19"/>
      <c r="H304" s="20"/>
      <c r="J304" s="133"/>
      <c r="K304" s="138"/>
      <c r="L304" s="133"/>
      <c r="M304" s="139"/>
    </row>
    <row r="305" spans="1:13" s="4" customFormat="1" ht="35.1" customHeight="1" x14ac:dyDescent="0.3">
      <c r="A305" s="13"/>
      <c r="B305" s="14"/>
      <c r="C305" s="15"/>
      <c r="D305" s="115" t="s">
        <v>430</v>
      </c>
      <c r="E305" s="116"/>
      <c r="F305" s="117"/>
      <c r="G305" s="19"/>
      <c r="H305" s="20"/>
      <c r="J305" s="133"/>
      <c r="K305" s="138"/>
      <c r="L305" s="133"/>
      <c r="M305" s="139"/>
    </row>
    <row r="306" spans="1:13" s="4" customFormat="1" ht="35.1" customHeight="1" x14ac:dyDescent="0.3">
      <c r="A306" s="13"/>
      <c r="B306" s="14"/>
      <c r="C306" s="15"/>
      <c r="D306" s="115" t="s">
        <v>539</v>
      </c>
      <c r="E306" s="116">
        <f>2*1.7*(116-6)</f>
        <v>374</v>
      </c>
      <c r="F306" s="117" t="s">
        <v>13</v>
      </c>
      <c r="G306" s="19"/>
      <c r="H306" s="20"/>
      <c r="J306" s="133"/>
      <c r="K306" s="138"/>
      <c r="L306" s="133"/>
      <c r="M306" s="139"/>
    </row>
    <row r="307" spans="1:13" s="4" customFormat="1" ht="35.1" customHeight="1" x14ac:dyDescent="0.3">
      <c r="A307" s="13"/>
      <c r="B307" s="14"/>
      <c r="C307" s="15"/>
      <c r="D307" s="246" t="s">
        <v>367</v>
      </c>
      <c r="E307" s="247">
        <f>SUM(E306)</f>
        <v>374</v>
      </c>
      <c r="F307" s="248" t="s">
        <v>13</v>
      </c>
      <c r="G307" s="19"/>
      <c r="H307" s="20"/>
      <c r="J307" s="133"/>
      <c r="K307" s="138"/>
      <c r="L307" s="133"/>
      <c r="M307" s="139"/>
    </row>
    <row r="308" spans="1:13" s="4" customFormat="1" ht="35.1" customHeight="1" x14ac:dyDescent="0.3">
      <c r="A308" s="13"/>
      <c r="B308" s="14"/>
      <c r="C308" s="15"/>
      <c r="D308" s="246" t="s">
        <v>540</v>
      </c>
      <c r="E308" s="247">
        <f>E307*0.5</f>
        <v>187</v>
      </c>
      <c r="F308" s="248" t="s">
        <v>13</v>
      </c>
      <c r="G308" s="19"/>
      <c r="H308" s="20"/>
      <c r="J308" s="133"/>
      <c r="K308" s="138"/>
      <c r="L308" s="133"/>
      <c r="M308" s="139"/>
    </row>
    <row r="309" spans="1:13" s="4" customFormat="1" ht="35.1" customHeight="1" x14ac:dyDescent="0.3">
      <c r="A309" s="13"/>
      <c r="B309" s="14"/>
      <c r="C309" s="15"/>
      <c r="D309" s="243"/>
      <c r="E309" s="244"/>
      <c r="F309" s="245"/>
      <c r="G309" s="19"/>
      <c r="H309" s="20"/>
      <c r="J309" s="133"/>
      <c r="K309" s="138"/>
      <c r="L309" s="133"/>
      <c r="M309" s="139"/>
    </row>
    <row r="310" spans="1:13" s="4" customFormat="1" ht="35.1" customHeight="1" x14ac:dyDescent="0.3">
      <c r="A310" s="13"/>
      <c r="B310" s="14"/>
      <c r="C310" s="15"/>
      <c r="D310" s="16" t="s">
        <v>363</v>
      </c>
      <c r="E310" s="244"/>
      <c r="F310" s="245"/>
      <c r="G310" s="19"/>
      <c r="H310" s="20"/>
      <c r="J310" s="133"/>
      <c r="K310" s="138"/>
      <c r="L310" s="133"/>
      <c r="M310" s="139"/>
    </row>
    <row r="311" spans="1:13" s="4" customFormat="1" ht="35.1" customHeight="1" x14ac:dyDescent="0.3">
      <c r="A311" s="13"/>
      <c r="B311" s="14"/>
      <c r="C311" s="15"/>
      <c r="D311" s="16" t="s">
        <v>357</v>
      </c>
      <c r="E311" s="65"/>
      <c r="F311" s="74"/>
      <c r="G311" s="19"/>
      <c r="H311" s="20"/>
      <c r="J311" s="133"/>
      <c r="K311" s="138"/>
      <c r="L311" s="133"/>
      <c r="M311" s="139"/>
    </row>
    <row r="312" spans="1:13" s="4" customFormat="1" ht="35.1" customHeight="1" x14ac:dyDescent="0.3">
      <c r="A312" s="13"/>
      <c r="B312" s="14"/>
      <c r="C312" s="15"/>
      <c r="D312" s="16" t="s">
        <v>417</v>
      </c>
      <c r="E312" s="65">
        <f>1*3.5*0</f>
        <v>0</v>
      </c>
      <c r="F312" s="74" t="s">
        <v>13</v>
      </c>
      <c r="G312" s="19"/>
      <c r="H312" s="20"/>
      <c r="J312" s="133"/>
      <c r="K312" s="138"/>
      <c r="L312" s="133"/>
      <c r="M312" s="139"/>
    </row>
    <row r="313" spans="1:13" s="4" customFormat="1" ht="35.1" customHeight="1" x14ac:dyDescent="0.3">
      <c r="A313" s="13"/>
      <c r="B313" s="14"/>
      <c r="C313" s="15"/>
      <c r="D313" s="16" t="s">
        <v>560</v>
      </c>
      <c r="E313" s="65">
        <f>2*1.5*2.5</f>
        <v>7.5</v>
      </c>
      <c r="F313" s="74" t="s">
        <v>13</v>
      </c>
      <c r="G313" s="19"/>
      <c r="H313" s="20"/>
      <c r="J313" s="133"/>
      <c r="K313" s="138"/>
      <c r="L313" s="133"/>
      <c r="M313" s="139"/>
    </row>
    <row r="314" spans="1:13" s="4" customFormat="1" ht="35.1" customHeight="1" x14ac:dyDescent="0.3">
      <c r="A314" s="13"/>
      <c r="B314" s="14"/>
      <c r="C314" s="15"/>
      <c r="D314" s="16" t="s">
        <v>561</v>
      </c>
      <c r="E314" s="65">
        <f>2*1.5*2.5</f>
        <v>7.5</v>
      </c>
      <c r="F314" s="74" t="s">
        <v>13</v>
      </c>
      <c r="G314" s="19"/>
      <c r="H314" s="20"/>
      <c r="J314" s="133"/>
      <c r="K314" s="138"/>
      <c r="L314" s="133"/>
      <c r="M314" s="139"/>
    </row>
    <row r="315" spans="1:13" s="4" customFormat="1" ht="35.1" customHeight="1" x14ac:dyDescent="0.3">
      <c r="A315" s="13"/>
      <c r="B315" s="14"/>
      <c r="C315" s="15"/>
      <c r="D315" s="16" t="s">
        <v>562</v>
      </c>
      <c r="E315" s="65">
        <f t="shared" ref="E315:E328" si="21">2*1.5*2.5</f>
        <v>7.5</v>
      </c>
      <c r="F315" s="74" t="s">
        <v>13</v>
      </c>
      <c r="G315" s="19"/>
      <c r="H315" s="20"/>
      <c r="J315" s="133"/>
      <c r="K315" s="138"/>
      <c r="L315" s="133"/>
      <c r="M315" s="139"/>
    </row>
    <row r="316" spans="1:13" s="4" customFormat="1" ht="35.1" customHeight="1" x14ac:dyDescent="0.3">
      <c r="A316" s="13"/>
      <c r="B316" s="14"/>
      <c r="C316" s="15"/>
      <c r="D316" s="16" t="s">
        <v>563</v>
      </c>
      <c r="E316" s="65">
        <f t="shared" si="21"/>
        <v>7.5</v>
      </c>
      <c r="F316" s="74" t="s">
        <v>13</v>
      </c>
      <c r="G316" s="19"/>
      <c r="H316" s="20"/>
      <c r="J316" s="133"/>
      <c r="K316" s="138"/>
      <c r="L316" s="133"/>
      <c r="M316" s="139"/>
    </row>
    <row r="317" spans="1:13" s="4" customFormat="1" ht="35.1" customHeight="1" x14ac:dyDescent="0.3">
      <c r="A317" s="13"/>
      <c r="B317" s="14"/>
      <c r="C317" s="15"/>
      <c r="D317" s="16" t="s">
        <v>564</v>
      </c>
      <c r="E317" s="65">
        <f t="shared" si="21"/>
        <v>7.5</v>
      </c>
      <c r="F317" s="74" t="s">
        <v>13</v>
      </c>
      <c r="G317" s="19"/>
      <c r="H317" s="20"/>
      <c r="J317" s="133"/>
      <c r="K317" s="138"/>
      <c r="L317" s="133"/>
      <c r="M317" s="139"/>
    </row>
    <row r="318" spans="1:13" s="4" customFormat="1" ht="35.1" customHeight="1" x14ac:dyDescent="0.3">
      <c r="A318" s="13"/>
      <c r="B318" s="14"/>
      <c r="C318" s="15"/>
      <c r="D318" s="16" t="s">
        <v>568</v>
      </c>
      <c r="E318" s="65">
        <f t="shared" si="21"/>
        <v>7.5</v>
      </c>
      <c r="F318" s="74" t="s">
        <v>13</v>
      </c>
      <c r="G318" s="19"/>
      <c r="H318" s="20"/>
      <c r="J318" s="133"/>
      <c r="K318" s="138"/>
      <c r="L318" s="133"/>
      <c r="M318" s="139"/>
    </row>
    <row r="319" spans="1:13" s="4" customFormat="1" ht="35.1" customHeight="1" x14ac:dyDescent="0.3">
      <c r="A319" s="13"/>
      <c r="B319" s="14"/>
      <c r="C319" s="15"/>
      <c r="D319" s="16" t="s">
        <v>565</v>
      </c>
      <c r="E319" s="65">
        <f t="shared" si="21"/>
        <v>7.5</v>
      </c>
      <c r="F319" s="74" t="s">
        <v>13</v>
      </c>
      <c r="G319" s="19"/>
      <c r="H319" s="20"/>
      <c r="J319" s="133"/>
      <c r="K319" s="138"/>
      <c r="L319" s="133"/>
      <c r="M319" s="139"/>
    </row>
    <row r="320" spans="1:13" s="4" customFormat="1" ht="35.1" customHeight="1" x14ac:dyDescent="0.3">
      <c r="A320" s="13"/>
      <c r="B320" s="14"/>
      <c r="C320" s="15"/>
      <c r="D320" s="16" t="s">
        <v>569</v>
      </c>
      <c r="E320" s="65">
        <f t="shared" si="21"/>
        <v>7.5</v>
      </c>
      <c r="F320" s="74" t="s">
        <v>13</v>
      </c>
      <c r="G320" s="19"/>
      <c r="H320" s="20"/>
      <c r="J320" s="133"/>
      <c r="K320" s="138"/>
      <c r="L320" s="133"/>
      <c r="M320" s="139"/>
    </row>
    <row r="321" spans="1:13" s="4" customFormat="1" ht="35.1" customHeight="1" x14ac:dyDescent="0.3">
      <c r="A321" s="13"/>
      <c r="B321" s="14"/>
      <c r="C321" s="15"/>
      <c r="D321" s="16" t="s">
        <v>566</v>
      </c>
      <c r="E321" s="65">
        <f t="shared" si="21"/>
        <v>7.5</v>
      </c>
      <c r="F321" s="74" t="s">
        <v>13</v>
      </c>
      <c r="G321" s="19"/>
      <c r="H321" s="20"/>
      <c r="J321" s="133"/>
      <c r="K321" s="138"/>
      <c r="L321" s="133"/>
      <c r="M321" s="139"/>
    </row>
    <row r="322" spans="1:13" s="4" customFormat="1" ht="35.1" customHeight="1" x14ac:dyDescent="0.3">
      <c r="A322" s="13"/>
      <c r="B322" s="14"/>
      <c r="C322" s="15"/>
      <c r="D322" s="16" t="s">
        <v>570</v>
      </c>
      <c r="E322" s="65">
        <f t="shared" si="21"/>
        <v>7.5</v>
      </c>
      <c r="F322" s="74" t="s">
        <v>13</v>
      </c>
      <c r="G322" s="19"/>
      <c r="H322" s="20"/>
      <c r="J322" s="133"/>
      <c r="K322" s="138"/>
      <c r="L322" s="133"/>
      <c r="M322" s="139"/>
    </row>
    <row r="323" spans="1:13" s="4" customFormat="1" ht="35.1" customHeight="1" x14ac:dyDescent="0.3">
      <c r="A323" s="13"/>
      <c r="B323" s="14"/>
      <c r="C323" s="15"/>
      <c r="D323" s="16" t="s">
        <v>567</v>
      </c>
      <c r="E323" s="65">
        <f t="shared" si="21"/>
        <v>7.5</v>
      </c>
      <c r="F323" s="74" t="s">
        <v>13</v>
      </c>
      <c r="G323" s="19"/>
      <c r="H323" s="20"/>
      <c r="J323" s="133"/>
      <c r="K323" s="138"/>
      <c r="L323" s="133"/>
      <c r="M323" s="139"/>
    </row>
    <row r="324" spans="1:13" s="4" customFormat="1" ht="35.1" customHeight="1" x14ac:dyDescent="0.3">
      <c r="A324" s="13"/>
      <c r="B324" s="14"/>
      <c r="C324" s="15"/>
      <c r="D324" s="16" t="s">
        <v>571</v>
      </c>
      <c r="E324" s="65">
        <f t="shared" si="21"/>
        <v>7.5</v>
      </c>
      <c r="F324" s="74" t="s">
        <v>13</v>
      </c>
      <c r="G324" s="19"/>
      <c r="H324" s="20"/>
      <c r="J324" s="133"/>
      <c r="K324" s="138"/>
      <c r="L324" s="133"/>
      <c r="M324" s="139"/>
    </row>
    <row r="325" spans="1:13" s="4" customFormat="1" ht="35.1" customHeight="1" x14ac:dyDescent="0.3">
      <c r="A325" s="13"/>
      <c r="B325" s="14"/>
      <c r="C325" s="15"/>
      <c r="D325" s="16" t="s">
        <v>572</v>
      </c>
      <c r="E325" s="65">
        <f t="shared" si="21"/>
        <v>7.5</v>
      </c>
      <c r="F325" s="74" t="s">
        <v>13</v>
      </c>
      <c r="G325" s="19"/>
      <c r="H325" s="20"/>
      <c r="J325" s="133"/>
      <c r="K325" s="138"/>
      <c r="L325" s="133"/>
      <c r="M325" s="139"/>
    </row>
    <row r="326" spans="1:13" s="4" customFormat="1" ht="35.1" customHeight="1" x14ac:dyDescent="0.3">
      <c r="A326" s="13"/>
      <c r="B326" s="14"/>
      <c r="C326" s="15"/>
      <c r="D326" s="16" t="s">
        <v>573</v>
      </c>
      <c r="E326" s="65">
        <f t="shared" si="21"/>
        <v>7.5</v>
      </c>
      <c r="F326" s="74" t="s">
        <v>13</v>
      </c>
      <c r="G326" s="19"/>
      <c r="H326" s="20"/>
      <c r="J326" s="133"/>
      <c r="K326" s="138"/>
      <c r="L326" s="133"/>
      <c r="M326" s="139"/>
    </row>
    <row r="327" spans="1:13" s="4" customFormat="1" ht="35.1" customHeight="1" x14ac:dyDescent="0.3">
      <c r="A327" s="13"/>
      <c r="B327" s="14"/>
      <c r="C327" s="15"/>
      <c r="D327" s="16" t="s">
        <v>575</v>
      </c>
      <c r="E327" s="65">
        <f t="shared" si="21"/>
        <v>7.5</v>
      </c>
      <c r="F327" s="74" t="s">
        <v>13</v>
      </c>
      <c r="G327" s="19"/>
      <c r="H327" s="20"/>
      <c r="J327" s="133"/>
      <c r="K327" s="138"/>
      <c r="L327" s="133"/>
      <c r="M327" s="139"/>
    </row>
    <row r="328" spans="1:13" s="4" customFormat="1" ht="35.1" customHeight="1" x14ac:dyDescent="0.3">
      <c r="A328" s="13"/>
      <c r="B328" s="14"/>
      <c r="C328" s="15"/>
      <c r="D328" s="16" t="s">
        <v>574</v>
      </c>
      <c r="E328" s="65">
        <f t="shared" si="21"/>
        <v>7.5</v>
      </c>
      <c r="F328" s="74" t="s">
        <v>13</v>
      </c>
      <c r="G328" s="19"/>
      <c r="H328" s="20"/>
      <c r="J328" s="133"/>
      <c r="K328" s="138"/>
      <c r="L328" s="133"/>
      <c r="M328" s="139"/>
    </row>
    <row r="329" spans="1:13" s="4" customFormat="1" ht="35.1" customHeight="1" x14ac:dyDescent="0.3">
      <c r="A329" s="13"/>
      <c r="B329" s="14"/>
      <c r="C329" s="15"/>
      <c r="D329" s="243" t="s">
        <v>364</v>
      </c>
      <c r="E329" s="244">
        <f>SUM(E313:E327)</f>
        <v>112.5</v>
      </c>
      <c r="F329" s="245" t="s">
        <v>13</v>
      </c>
      <c r="G329" s="19"/>
      <c r="H329" s="20"/>
      <c r="J329" s="133"/>
      <c r="K329" s="138"/>
      <c r="L329" s="133"/>
      <c r="M329" s="139"/>
    </row>
    <row r="330" spans="1:13" s="4" customFormat="1" ht="35.1" customHeight="1" x14ac:dyDescent="0.3">
      <c r="A330" s="13"/>
      <c r="B330" s="14"/>
      <c r="C330" s="15"/>
      <c r="D330" s="24"/>
      <c r="E330" s="25"/>
      <c r="F330" s="26"/>
      <c r="G330" s="19"/>
      <c r="H330" s="20"/>
      <c r="J330" s="133"/>
      <c r="K330" s="138"/>
      <c r="L330" s="133"/>
      <c r="M330" s="139"/>
    </row>
    <row r="331" spans="1:13" s="4" customFormat="1" ht="35.1" customHeight="1" x14ac:dyDescent="0.3">
      <c r="A331" s="13"/>
      <c r="B331" s="14"/>
      <c r="C331" s="15"/>
      <c r="D331" s="16" t="s">
        <v>360</v>
      </c>
      <c r="E331" s="25"/>
      <c r="F331" s="26"/>
      <c r="G331" s="19"/>
      <c r="H331" s="20"/>
      <c r="J331" s="133"/>
      <c r="K331" s="138"/>
      <c r="L331" s="133"/>
      <c r="M331" s="139"/>
    </row>
    <row r="332" spans="1:13" s="4" customFormat="1" ht="35.1" customHeight="1" x14ac:dyDescent="0.3">
      <c r="A332" s="13"/>
      <c r="B332" s="14"/>
      <c r="C332" s="15"/>
      <c r="D332" s="16" t="s">
        <v>658</v>
      </c>
      <c r="E332" s="65">
        <f>2*1.5*3.5</f>
        <v>10.5</v>
      </c>
      <c r="F332" s="74" t="s">
        <v>13</v>
      </c>
      <c r="G332" s="19"/>
      <c r="H332" s="20"/>
      <c r="J332" s="133"/>
      <c r="K332" s="138"/>
      <c r="L332" s="133"/>
      <c r="M332" s="139"/>
    </row>
    <row r="333" spans="1:13" s="4" customFormat="1" ht="35.1" customHeight="1" x14ac:dyDescent="0.3">
      <c r="A333" s="13"/>
      <c r="B333" s="14"/>
      <c r="C333" s="15"/>
      <c r="D333" s="16" t="s">
        <v>576</v>
      </c>
      <c r="E333" s="65">
        <f t="shared" ref="E333:E349" si="22">2*1.5*2.5</f>
        <v>7.5</v>
      </c>
      <c r="F333" s="74" t="s">
        <v>13</v>
      </c>
      <c r="G333" s="19"/>
      <c r="H333" s="20"/>
      <c r="J333" s="133"/>
      <c r="K333" s="138"/>
      <c r="L333" s="133"/>
      <c r="M333" s="139"/>
    </row>
    <row r="334" spans="1:13" s="4" customFormat="1" ht="35.1" customHeight="1" x14ac:dyDescent="0.3">
      <c r="A334" s="13"/>
      <c r="B334" s="14"/>
      <c r="C334" s="15"/>
      <c r="D334" s="16" t="s">
        <v>577</v>
      </c>
      <c r="E334" s="65">
        <f t="shared" ref="E334:E348" si="23">2*1.5*3.5</f>
        <v>10.5</v>
      </c>
      <c r="F334" s="74" t="s">
        <v>13</v>
      </c>
      <c r="G334" s="19"/>
      <c r="H334" s="20"/>
      <c r="J334" s="133"/>
      <c r="K334" s="138"/>
      <c r="L334" s="133"/>
      <c r="M334" s="139"/>
    </row>
    <row r="335" spans="1:13" s="4" customFormat="1" ht="35.1" customHeight="1" x14ac:dyDescent="0.3">
      <c r="A335" s="13"/>
      <c r="B335" s="14"/>
      <c r="C335" s="15"/>
      <c r="D335" s="16" t="s">
        <v>578</v>
      </c>
      <c r="E335" s="65">
        <f t="shared" si="22"/>
        <v>7.5</v>
      </c>
      <c r="F335" s="74" t="s">
        <v>13</v>
      </c>
      <c r="G335" s="19"/>
      <c r="H335" s="20"/>
      <c r="J335" s="133"/>
      <c r="K335" s="138"/>
      <c r="L335" s="133"/>
      <c r="M335" s="139"/>
    </row>
    <row r="336" spans="1:13" s="4" customFormat="1" ht="35.1" customHeight="1" x14ac:dyDescent="0.3">
      <c r="A336" s="13"/>
      <c r="B336" s="14"/>
      <c r="C336" s="15"/>
      <c r="D336" s="16" t="s">
        <v>579</v>
      </c>
      <c r="E336" s="65">
        <f t="shared" si="23"/>
        <v>10.5</v>
      </c>
      <c r="F336" s="74" t="s">
        <v>13</v>
      </c>
      <c r="G336" s="19"/>
      <c r="H336" s="20"/>
      <c r="J336" s="133"/>
      <c r="K336" s="138"/>
      <c r="L336" s="133"/>
      <c r="M336" s="139"/>
    </row>
    <row r="337" spans="1:13" s="4" customFormat="1" ht="35.1" customHeight="1" x14ac:dyDescent="0.3">
      <c r="A337" s="13"/>
      <c r="B337" s="14"/>
      <c r="C337" s="15"/>
      <c r="D337" s="16" t="s">
        <v>580</v>
      </c>
      <c r="E337" s="65">
        <f t="shared" si="22"/>
        <v>7.5</v>
      </c>
      <c r="F337" s="74" t="s">
        <v>13</v>
      </c>
      <c r="G337" s="19"/>
      <c r="H337" s="20"/>
      <c r="J337" s="133"/>
      <c r="K337" s="138"/>
      <c r="L337" s="133"/>
      <c r="M337" s="139"/>
    </row>
    <row r="338" spans="1:13" s="4" customFormat="1" ht="35.1" customHeight="1" x14ac:dyDescent="0.3">
      <c r="A338" s="13"/>
      <c r="B338" s="14"/>
      <c r="C338" s="15"/>
      <c r="D338" s="16" t="s">
        <v>582</v>
      </c>
      <c r="E338" s="65">
        <f t="shared" si="23"/>
        <v>10.5</v>
      </c>
      <c r="F338" s="74" t="s">
        <v>13</v>
      </c>
      <c r="G338" s="19"/>
      <c r="H338" s="20"/>
      <c r="J338" s="133"/>
      <c r="K338" s="138"/>
      <c r="L338" s="133"/>
      <c r="M338" s="139"/>
    </row>
    <row r="339" spans="1:13" s="4" customFormat="1" ht="35.1" customHeight="1" x14ac:dyDescent="0.3">
      <c r="A339" s="13"/>
      <c r="B339" s="14"/>
      <c r="C339" s="15"/>
      <c r="D339" s="16" t="s">
        <v>581</v>
      </c>
      <c r="E339" s="65">
        <f t="shared" si="22"/>
        <v>7.5</v>
      </c>
      <c r="F339" s="74" t="s">
        <v>13</v>
      </c>
      <c r="G339" s="19"/>
      <c r="H339" s="20"/>
      <c r="J339" s="133"/>
      <c r="K339" s="138"/>
      <c r="L339" s="133"/>
      <c r="M339" s="139"/>
    </row>
    <row r="340" spans="1:13" s="4" customFormat="1" ht="35.1" customHeight="1" x14ac:dyDescent="0.3">
      <c r="A340" s="13"/>
      <c r="B340" s="14"/>
      <c r="C340" s="15"/>
      <c r="D340" s="16" t="s">
        <v>584</v>
      </c>
      <c r="E340" s="65">
        <f t="shared" si="23"/>
        <v>10.5</v>
      </c>
      <c r="F340" s="74" t="s">
        <v>13</v>
      </c>
      <c r="G340" s="19"/>
      <c r="H340" s="20"/>
      <c r="J340" s="133"/>
      <c r="K340" s="138"/>
      <c r="L340" s="133"/>
      <c r="M340" s="139"/>
    </row>
    <row r="341" spans="1:13" s="4" customFormat="1" ht="35.1" customHeight="1" x14ac:dyDescent="0.3">
      <c r="A341" s="13"/>
      <c r="B341" s="14"/>
      <c r="C341" s="15"/>
      <c r="D341" s="16" t="s">
        <v>583</v>
      </c>
      <c r="E341" s="65">
        <f t="shared" si="22"/>
        <v>7.5</v>
      </c>
      <c r="F341" s="74" t="s">
        <v>13</v>
      </c>
      <c r="G341" s="19"/>
      <c r="H341" s="20"/>
      <c r="J341" s="133"/>
      <c r="K341" s="138"/>
      <c r="L341" s="133"/>
      <c r="M341" s="139"/>
    </row>
    <row r="342" spans="1:13" s="4" customFormat="1" ht="35.1" customHeight="1" x14ac:dyDescent="0.3">
      <c r="A342" s="13"/>
      <c r="B342" s="14"/>
      <c r="C342" s="15"/>
      <c r="D342" s="16" t="s">
        <v>586</v>
      </c>
      <c r="E342" s="65">
        <f t="shared" si="23"/>
        <v>10.5</v>
      </c>
      <c r="F342" s="74" t="s">
        <v>13</v>
      </c>
      <c r="G342" s="19"/>
      <c r="H342" s="20"/>
      <c r="J342" s="133"/>
      <c r="K342" s="138"/>
      <c r="L342" s="133"/>
      <c r="M342" s="139"/>
    </row>
    <row r="343" spans="1:13" s="4" customFormat="1" ht="35.1" customHeight="1" x14ac:dyDescent="0.3">
      <c r="A343" s="13"/>
      <c r="B343" s="14"/>
      <c r="C343" s="15"/>
      <c r="D343" s="16" t="s">
        <v>585</v>
      </c>
      <c r="E343" s="65">
        <f t="shared" si="22"/>
        <v>7.5</v>
      </c>
      <c r="F343" s="74" t="s">
        <v>13</v>
      </c>
      <c r="G343" s="19"/>
      <c r="H343" s="20"/>
      <c r="J343" s="133"/>
      <c r="K343" s="138"/>
      <c r="L343" s="133"/>
      <c r="M343" s="139"/>
    </row>
    <row r="344" spans="1:13" s="4" customFormat="1" ht="35.1" customHeight="1" x14ac:dyDescent="0.3">
      <c r="A344" s="13"/>
      <c r="B344" s="14"/>
      <c r="C344" s="15"/>
      <c r="D344" s="16" t="s">
        <v>587</v>
      </c>
      <c r="E344" s="65">
        <f t="shared" si="23"/>
        <v>10.5</v>
      </c>
      <c r="F344" s="74" t="s">
        <v>13</v>
      </c>
      <c r="G344" s="19"/>
      <c r="H344" s="20"/>
      <c r="J344" s="133"/>
      <c r="K344" s="138"/>
      <c r="L344" s="133"/>
      <c r="M344" s="139"/>
    </row>
    <row r="345" spans="1:13" s="4" customFormat="1" ht="35.1" customHeight="1" x14ac:dyDescent="0.3">
      <c r="A345" s="13"/>
      <c r="B345" s="14"/>
      <c r="C345" s="15"/>
      <c r="D345" s="16" t="s">
        <v>590</v>
      </c>
      <c r="E345" s="65">
        <f t="shared" si="22"/>
        <v>7.5</v>
      </c>
      <c r="F345" s="74" t="s">
        <v>13</v>
      </c>
      <c r="G345" s="19"/>
      <c r="H345" s="20"/>
      <c r="J345" s="133"/>
      <c r="K345" s="138"/>
      <c r="L345" s="133"/>
      <c r="M345" s="139"/>
    </row>
    <row r="346" spans="1:13" s="4" customFormat="1" ht="35.1" customHeight="1" x14ac:dyDescent="0.3">
      <c r="A346" s="13"/>
      <c r="B346" s="14"/>
      <c r="C346" s="15"/>
      <c r="D346" s="16" t="s">
        <v>588</v>
      </c>
      <c r="E346" s="65">
        <f t="shared" si="23"/>
        <v>10.5</v>
      </c>
      <c r="F346" s="74" t="s">
        <v>13</v>
      </c>
      <c r="G346" s="19"/>
      <c r="H346" s="20"/>
      <c r="J346" s="133"/>
      <c r="K346" s="138"/>
      <c r="L346" s="133"/>
      <c r="M346" s="139"/>
    </row>
    <row r="347" spans="1:13" s="4" customFormat="1" ht="35.1" customHeight="1" x14ac:dyDescent="0.3">
      <c r="A347" s="13"/>
      <c r="B347" s="14"/>
      <c r="C347" s="15"/>
      <c r="D347" s="16" t="s">
        <v>591</v>
      </c>
      <c r="E347" s="65">
        <f t="shared" si="22"/>
        <v>7.5</v>
      </c>
      <c r="F347" s="74" t="s">
        <v>13</v>
      </c>
      <c r="G347" s="19"/>
      <c r="H347" s="20"/>
      <c r="J347" s="133"/>
      <c r="K347" s="138"/>
      <c r="L347" s="133"/>
      <c r="M347" s="139"/>
    </row>
    <row r="348" spans="1:13" s="4" customFormat="1" ht="35.1" customHeight="1" x14ac:dyDescent="0.3">
      <c r="A348" s="13"/>
      <c r="B348" s="14"/>
      <c r="C348" s="15"/>
      <c r="D348" s="16" t="s">
        <v>589</v>
      </c>
      <c r="E348" s="65">
        <f t="shared" si="23"/>
        <v>10.5</v>
      </c>
      <c r="F348" s="74" t="s">
        <v>13</v>
      </c>
      <c r="G348" s="19"/>
      <c r="H348" s="20"/>
      <c r="J348" s="133"/>
      <c r="K348" s="138"/>
      <c r="L348" s="133"/>
      <c r="M348" s="139"/>
    </row>
    <row r="349" spans="1:13" s="4" customFormat="1" ht="35.1" customHeight="1" x14ac:dyDescent="0.3">
      <c r="A349" s="13"/>
      <c r="B349" s="14"/>
      <c r="C349" s="15"/>
      <c r="D349" s="16" t="s">
        <v>592</v>
      </c>
      <c r="E349" s="65">
        <f t="shared" si="22"/>
        <v>7.5</v>
      </c>
      <c r="F349" s="74" t="s">
        <v>13</v>
      </c>
      <c r="G349" s="19"/>
      <c r="H349" s="20"/>
      <c r="J349" s="133"/>
      <c r="K349" s="138"/>
      <c r="L349" s="133"/>
      <c r="M349" s="139"/>
    </row>
    <row r="350" spans="1:13" s="4" customFormat="1" ht="35.1" customHeight="1" x14ac:dyDescent="0.3">
      <c r="A350" s="13"/>
      <c r="B350" s="14"/>
      <c r="C350" s="15"/>
      <c r="D350" s="16" t="s">
        <v>426</v>
      </c>
      <c r="E350" s="65">
        <f>(1.5-0.4)*1*3.5*0</f>
        <v>0</v>
      </c>
      <c r="F350" s="74" t="s">
        <v>13</v>
      </c>
      <c r="G350" s="19"/>
      <c r="H350" s="20"/>
      <c r="J350" s="133"/>
      <c r="K350" s="138"/>
      <c r="L350" s="133"/>
      <c r="M350" s="139"/>
    </row>
    <row r="351" spans="1:13" s="4" customFormat="1" ht="35.1" customHeight="1" x14ac:dyDescent="0.3">
      <c r="A351" s="13"/>
      <c r="B351" s="14"/>
      <c r="C351" s="15"/>
      <c r="D351" s="243" t="s">
        <v>365</v>
      </c>
      <c r="E351" s="244">
        <f>SUM(E332:E350)</f>
        <v>162</v>
      </c>
      <c r="F351" s="245" t="s">
        <v>13</v>
      </c>
      <c r="G351" s="19"/>
      <c r="H351" s="20"/>
      <c r="J351" s="133"/>
      <c r="K351" s="138"/>
      <c r="L351" s="133"/>
      <c r="M351" s="139"/>
    </row>
    <row r="352" spans="1:13" s="4" customFormat="1" ht="35.1" customHeight="1" x14ac:dyDescent="0.3">
      <c r="A352" s="13"/>
      <c r="B352" s="14"/>
      <c r="C352" s="15"/>
      <c r="D352" s="243" t="s">
        <v>366</v>
      </c>
      <c r="E352" s="244">
        <f>E308+E329+E351</f>
        <v>461.5</v>
      </c>
      <c r="F352" s="245" t="s">
        <v>13</v>
      </c>
      <c r="G352" s="19"/>
      <c r="H352" s="20"/>
      <c r="J352" s="133"/>
      <c r="K352" s="138"/>
      <c r="L352" s="133"/>
      <c r="M352" s="139"/>
    </row>
    <row r="353" spans="1:13" s="4" customFormat="1" ht="35.1" customHeight="1" x14ac:dyDescent="0.3">
      <c r="A353" s="13"/>
      <c r="B353" s="14"/>
      <c r="C353" s="15"/>
      <c r="D353" s="243"/>
      <c r="E353" s="244"/>
      <c r="F353" s="245"/>
      <c r="G353" s="19"/>
      <c r="H353" s="20"/>
      <c r="J353" s="133"/>
      <c r="K353" s="138"/>
      <c r="L353" s="133"/>
      <c r="M353" s="139"/>
    </row>
    <row r="354" spans="1:13" s="4" customFormat="1" ht="35.1" customHeight="1" x14ac:dyDescent="0.3">
      <c r="A354" s="13"/>
      <c r="B354" s="14"/>
      <c r="C354" s="15"/>
      <c r="D354" s="24" t="s">
        <v>372</v>
      </c>
      <c r="E354" s="25"/>
      <c r="F354" s="26"/>
      <c r="G354" s="19"/>
      <c r="H354" s="20"/>
      <c r="J354" s="133"/>
      <c r="K354" s="138"/>
      <c r="L354" s="133"/>
      <c r="M354" s="139"/>
    </row>
    <row r="355" spans="1:13" s="4" customFormat="1" ht="35.1" customHeight="1" x14ac:dyDescent="0.3">
      <c r="A355" s="13"/>
      <c r="B355" s="14"/>
      <c r="C355" s="15"/>
      <c r="D355" s="24" t="s">
        <v>541</v>
      </c>
      <c r="E355" s="25">
        <f>2*(2+2*0.1)*4*2</f>
        <v>35.200000000000003</v>
      </c>
      <c r="F355" s="26" t="s">
        <v>13</v>
      </c>
      <c r="G355" s="19"/>
      <c r="H355" s="20"/>
      <c r="J355" s="133"/>
      <c r="K355" s="138"/>
      <c r="L355" s="133"/>
      <c r="M355" s="139"/>
    </row>
    <row r="356" spans="1:13" s="4" customFormat="1" ht="35.1" customHeight="1" x14ac:dyDescent="0.3">
      <c r="A356" s="13"/>
      <c r="B356" s="14"/>
      <c r="C356" s="15"/>
      <c r="D356" s="24" t="s">
        <v>542</v>
      </c>
      <c r="E356" s="25">
        <f>2*(1.5+2*0.1)*4*1</f>
        <v>13.6</v>
      </c>
      <c r="F356" s="26" t="s">
        <v>13</v>
      </c>
      <c r="G356" s="19"/>
      <c r="H356" s="20"/>
      <c r="J356" s="133"/>
      <c r="K356" s="138"/>
      <c r="L356" s="133"/>
      <c r="M356" s="139"/>
    </row>
    <row r="357" spans="1:13" s="4" customFormat="1" ht="35.1" customHeight="1" x14ac:dyDescent="0.3">
      <c r="A357" s="13"/>
      <c r="B357" s="14"/>
      <c r="C357" s="15"/>
      <c r="D357" s="243" t="s">
        <v>485</v>
      </c>
      <c r="E357" s="244">
        <f>SUM(E355:E356)</f>
        <v>48.800000000000004</v>
      </c>
      <c r="F357" s="245" t="s">
        <v>13</v>
      </c>
      <c r="G357" s="19"/>
      <c r="H357" s="20"/>
      <c r="J357" s="133"/>
      <c r="K357" s="138"/>
      <c r="L357" s="133"/>
      <c r="M357" s="139"/>
    </row>
    <row r="358" spans="1:13" s="4" customFormat="1" ht="35.1" customHeight="1" x14ac:dyDescent="0.3">
      <c r="A358" s="13"/>
      <c r="B358" s="14"/>
      <c r="C358" s="15"/>
      <c r="D358" s="243" t="s">
        <v>18</v>
      </c>
      <c r="E358" s="244">
        <f>E357+E352+E303</f>
        <v>1179.3</v>
      </c>
      <c r="F358" s="245" t="s">
        <v>13</v>
      </c>
      <c r="G358" s="19"/>
      <c r="H358" s="20"/>
      <c r="J358" s="133"/>
      <c r="K358" s="138"/>
      <c r="L358" s="133"/>
      <c r="M358" s="139"/>
    </row>
    <row r="359" spans="1:13" s="4" customFormat="1" ht="35.1" customHeight="1" x14ac:dyDescent="0.3">
      <c r="A359" s="13"/>
      <c r="B359" s="14"/>
      <c r="C359" s="15"/>
      <c r="D359" s="102"/>
      <c r="E359" s="103"/>
      <c r="F359" s="104"/>
      <c r="G359" s="19"/>
      <c r="H359" s="20"/>
      <c r="J359" s="133"/>
      <c r="K359" s="138"/>
      <c r="L359" s="133"/>
      <c r="M359" s="139"/>
    </row>
    <row r="360" spans="1:13" s="4" customFormat="1" ht="35.1" customHeight="1" x14ac:dyDescent="0.3">
      <c r="A360" s="13">
        <v>11</v>
      </c>
      <c r="B360" s="14" t="s">
        <v>12</v>
      </c>
      <c r="C360" s="15" t="s">
        <v>30</v>
      </c>
      <c r="D360" s="16" t="s">
        <v>31</v>
      </c>
      <c r="E360" s="17">
        <f>E239</f>
        <v>1179.3</v>
      </c>
      <c r="F360" s="18" t="s">
        <v>13</v>
      </c>
      <c r="G360" s="19"/>
      <c r="H360" s="20">
        <f t="shared" ref="H360:H362" si="24">E360*G360</f>
        <v>0</v>
      </c>
      <c r="J360" s="133">
        <v>0</v>
      </c>
      <c r="K360" s="138">
        <f t="shared" si="11"/>
        <v>0</v>
      </c>
      <c r="L360" s="133">
        <v>0</v>
      </c>
      <c r="M360" s="139" t="e">
        <f>L360*#REF!</f>
        <v>#REF!</v>
      </c>
    </row>
    <row r="361" spans="1:13" s="29" customFormat="1" ht="35.1" customHeight="1" x14ac:dyDescent="0.3">
      <c r="A361" s="21"/>
      <c r="B361" s="22"/>
      <c r="C361" s="23"/>
      <c r="D361" s="24"/>
      <c r="E361" s="25"/>
      <c r="F361" s="26"/>
      <c r="G361" s="27"/>
      <c r="H361" s="20"/>
      <c r="J361" s="134"/>
      <c r="K361" s="138"/>
      <c r="L361" s="134"/>
      <c r="M361" s="142"/>
    </row>
    <row r="362" spans="1:13" s="4" customFormat="1" ht="35.1" customHeight="1" x14ac:dyDescent="0.3">
      <c r="A362" s="13">
        <v>12</v>
      </c>
      <c r="B362" s="14" t="s">
        <v>12</v>
      </c>
      <c r="C362" s="15" t="s">
        <v>32</v>
      </c>
      <c r="D362" s="16" t="s">
        <v>33</v>
      </c>
      <c r="E362" s="17">
        <f>E512+E513</f>
        <v>576.29999999999995</v>
      </c>
      <c r="F362" s="18" t="s">
        <v>17</v>
      </c>
      <c r="G362" s="19"/>
      <c r="H362" s="20">
        <f t="shared" si="24"/>
        <v>0</v>
      </c>
      <c r="J362" s="133">
        <v>0</v>
      </c>
      <c r="K362" s="138">
        <f t="shared" si="11"/>
        <v>0</v>
      </c>
      <c r="L362" s="133">
        <v>0</v>
      </c>
      <c r="M362" s="139" t="e">
        <f>L362*#REF!</f>
        <v>#REF!</v>
      </c>
    </row>
    <row r="363" spans="1:13" s="29" customFormat="1" ht="35.1" customHeight="1" x14ac:dyDescent="0.3">
      <c r="A363" s="21"/>
      <c r="B363" s="22"/>
      <c r="C363" s="23" t="s">
        <v>0</v>
      </c>
      <c r="D363" s="24" t="s">
        <v>200</v>
      </c>
      <c r="E363" s="25">
        <f>E512+E513</f>
        <v>576.29999999999995</v>
      </c>
      <c r="F363" s="26" t="s">
        <v>17</v>
      </c>
      <c r="G363" s="27"/>
      <c r="H363" s="20"/>
      <c r="J363" s="134"/>
      <c r="K363" s="138"/>
      <c r="L363" s="134"/>
      <c r="M363" s="142"/>
    </row>
    <row r="364" spans="1:13" s="29" customFormat="1" ht="35.1" customHeight="1" x14ac:dyDescent="0.3">
      <c r="A364" s="21"/>
      <c r="B364" s="22"/>
      <c r="C364" s="23"/>
      <c r="D364" s="24"/>
      <c r="E364" s="25"/>
      <c r="F364" s="26"/>
      <c r="G364" s="27"/>
      <c r="H364" s="20"/>
      <c r="J364" s="134"/>
      <c r="K364" s="138"/>
      <c r="L364" s="134"/>
      <c r="M364" s="142"/>
    </row>
    <row r="365" spans="1:13" s="4" customFormat="1" ht="35.1" customHeight="1" x14ac:dyDescent="0.3">
      <c r="A365" s="13">
        <v>13</v>
      </c>
      <c r="B365" s="14" t="s">
        <v>12</v>
      </c>
      <c r="C365" s="15" t="s">
        <v>34</v>
      </c>
      <c r="D365" s="16" t="s">
        <v>35</v>
      </c>
      <c r="E365" s="17">
        <f>E362</f>
        <v>576.29999999999995</v>
      </c>
      <c r="F365" s="18" t="s">
        <v>17</v>
      </c>
      <c r="G365" s="19"/>
      <c r="H365" s="20">
        <f t="shared" ref="H365:H367" si="25">E365*G365</f>
        <v>0</v>
      </c>
      <c r="J365" s="133">
        <v>0</v>
      </c>
      <c r="K365" s="138">
        <f t="shared" si="11"/>
        <v>0</v>
      </c>
      <c r="L365" s="133">
        <v>0</v>
      </c>
      <c r="M365" s="139" t="e">
        <f>L365*#REF!</f>
        <v>#REF!</v>
      </c>
    </row>
    <row r="366" spans="1:13" s="29" customFormat="1" ht="35.1" customHeight="1" x14ac:dyDescent="0.3">
      <c r="A366" s="21"/>
      <c r="B366" s="22"/>
      <c r="C366" s="23"/>
      <c r="D366" s="24"/>
      <c r="E366" s="25"/>
      <c r="F366" s="26"/>
      <c r="G366" s="27"/>
      <c r="H366" s="20"/>
      <c r="J366" s="134"/>
      <c r="K366" s="138"/>
      <c r="L366" s="134"/>
      <c r="M366" s="142"/>
    </row>
    <row r="367" spans="1:13" s="4" customFormat="1" ht="35.1" customHeight="1" x14ac:dyDescent="0.3">
      <c r="A367" s="13">
        <v>14</v>
      </c>
      <c r="B367" s="14" t="s">
        <v>12</v>
      </c>
      <c r="C367" s="15" t="s">
        <v>36</v>
      </c>
      <c r="D367" s="16" t="s">
        <v>37</v>
      </c>
      <c r="E367" s="17">
        <f>E365*5</f>
        <v>2881.5</v>
      </c>
      <c r="F367" s="18" t="s">
        <v>17</v>
      </c>
      <c r="G367" s="19"/>
      <c r="H367" s="20">
        <f t="shared" si="25"/>
        <v>0</v>
      </c>
      <c r="J367" s="133">
        <v>0</v>
      </c>
      <c r="K367" s="138">
        <f t="shared" ref="K367:K510" si="26">E367*J367</f>
        <v>0</v>
      </c>
      <c r="L367" s="133">
        <v>0</v>
      </c>
      <c r="M367" s="139" t="e">
        <f>L367*#REF!</f>
        <v>#REF!</v>
      </c>
    </row>
    <row r="368" spans="1:13" s="29" customFormat="1" ht="35.1" customHeight="1" x14ac:dyDescent="0.3">
      <c r="A368" s="21"/>
      <c r="B368" s="22"/>
      <c r="C368" s="23"/>
      <c r="D368" s="24" t="s">
        <v>232</v>
      </c>
      <c r="E368" s="25">
        <f>E365*5</f>
        <v>2881.5</v>
      </c>
      <c r="F368" s="26" t="s">
        <v>17</v>
      </c>
      <c r="G368" s="27"/>
      <c r="H368" s="20"/>
      <c r="J368" s="134"/>
      <c r="K368" s="138"/>
      <c r="L368" s="134"/>
      <c r="M368" s="142"/>
    </row>
    <row r="369" spans="1:13" s="29" customFormat="1" ht="35.1" customHeight="1" x14ac:dyDescent="0.3">
      <c r="A369" s="21"/>
      <c r="B369" s="22"/>
      <c r="C369" s="23"/>
      <c r="D369" s="95"/>
      <c r="E369" s="25"/>
      <c r="F369" s="26"/>
      <c r="G369" s="27"/>
      <c r="H369" s="20"/>
      <c r="J369" s="134"/>
      <c r="K369" s="138"/>
      <c r="L369" s="134"/>
      <c r="M369" s="142"/>
    </row>
    <row r="370" spans="1:13" s="4" customFormat="1" ht="35.1" customHeight="1" x14ac:dyDescent="0.3">
      <c r="A370" s="13">
        <v>15</v>
      </c>
      <c r="B370" s="14" t="s">
        <v>12</v>
      </c>
      <c r="C370" s="15" t="s">
        <v>38</v>
      </c>
      <c r="D370" s="16" t="s">
        <v>39</v>
      </c>
      <c r="E370" s="17">
        <f>E365</f>
        <v>576.29999999999995</v>
      </c>
      <c r="F370" s="18" t="s">
        <v>17</v>
      </c>
      <c r="G370" s="19"/>
      <c r="H370" s="20">
        <f t="shared" ref="H370:H374" si="27">E370*G370</f>
        <v>0</v>
      </c>
      <c r="J370" s="133">
        <v>0</v>
      </c>
      <c r="K370" s="138">
        <f t="shared" si="26"/>
        <v>0</v>
      </c>
      <c r="L370" s="133">
        <v>0</v>
      </c>
      <c r="M370" s="139" t="e">
        <f>L370*#REF!</f>
        <v>#REF!</v>
      </c>
    </row>
    <row r="371" spans="1:13" s="29" customFormat="1" ht="35.1" customHeight="1" x14ac:dyDescent="0.3">
      <c r="A371" s="21"/>
      <c r="B371" s="22"/>
      <c r="C371" s="23"/>
      <c r="D371" s="24"/>
      <c r="E371" s="25"/>
      <c r="F371" s="26"/>
      <c r="G371" s="27"/>
      <c r="H371" s="20"/>
      <c r="J371" s="134"/>
      <c r="K371" s="138"/>
      <c r="L371" s="134"/>
      <c r="M371" s="142"/>
    </row>
    <row r="372" spans="1:13" s="4" customFormat="1" ht="35.1" customHeight="1" x14ac:dyDescent="0.3">
      <c r="A372" s="13">
        <v>16</v>
      </c>
      <c r="B372" s="14" t="s">
        <v>12</v>
      </c>
      <c r="C372" s="15" t="s">
        <v>40</v>
      </c>
      <c r="D372" s="16" t="s">
        <v>41</v>
      </c>
      <c r="E372" s="17">
        <f>E370*1.9</f>
        <v>1094.9699999999998</v>
      </c>
      <c r="F372" s="18" t="s">
        <v>42</v>
      </c>
      <c r="G372" s="19"/>
      <c r="H372" s="20">
        <f t="shared" si="27"/>
        <v>0</v>
      </c>
      <c r="J372" s="133">
        <v>0</v>
      </c>
      <c r="K372" s="138">
        <f t="shared" si="26"/>
        <v>0</v>
      </c>
      <c r="L372" s="133">
        <v>0</v>
      </c>
      <c r="M372" s="139" t="e">
        <f>L372*#REF!</f>
        <v>#REF!</v>
      </c>
    </row>
    <row r="373" spans="1:13" s="4" customFormat="1" ht="35.1" customHeight="1" x14ac:dyDescent="0.3">
      <c r="A373" s="13"/>
      <c r="B373" s="14"/>
      <c r="C373" s="15"/>
      <c r="D373" s="16"/>
      <c r="E373" s="17"/>
      <c r="F373" s="18"/>
      <c r="G373" s="19"/>
      <c r="H373" s="20"/>
      <c r="J373" s="133"/>
      <c r="K373" s="138"/>
      <c r="L373" s="133"/>
      <c r="M373" s="139"/>
    </row>
    <row r="374" spans="1:13" s="4" customFormat="1" ht="35.1" customHeight="1" x14ac:dyDescent="0.3">
      <c r="A374" s="13">
        <v>17</v>
      </c>
      <c r="B374" s="14" t="s">
        <v>12</v>
      </c>
      <c r="C374" s="15" t="s">
        <v>43</v>
      </c>
      <c r="D374" s="16" t="s">
        <v>44</v>
      </c>
      <c r="E374" s="17">
        <f>E502</f>
        <v>214.29010653999998</v>
      </c>
      <c r="F374" s="18" t="s">
        <v>17</v>
      </c>
      <c r="G374" s="19"/>
      <c r="H374" s="20">
        <f t="shared" si="27"/>
        <v>0</v>
      </c>
      <c r="J374" s="133">
        <v>0</v>
      </c>
      <c r="K374" s="138">
        <f t="shared" si="26"/>
        <v>0</v>
      </c>
      <c r="L374" s="133">
        <v>0</v>
      </c>
      <c r="M374" s="155" t="e">
        <f>L374*#REF!</f>
        <v>#REF!</v>
      </c>
    </row>
    <row r="375" spans="1:13" s="4" customFormat="1" ht="35.1" customHeight="1" x14ac:dyDescent="0.3">
      <c r="A375" s="13"/>
      <c r="B375" s="14"/>
      <c r="C375" s="15"/>
      <c r="D375" s="16" t="s">
        <v>596</v>
      </c>
      <c r="E375" s="65">
        <f>(0.4+0.3)*1.1*(116-6)</f>
        <v>84.7</v>
      </c>
      <c r="F375" s="74" t="s">
        <v>17</v>
      </c>
      <c r="G375" s="19"/>
      <c r="H375" s="20"/>
      <c r="J375" s="133"/>
      <c r="K375" s="138"/>
      <c r="L375" s="133"/>
      <c r="M375" s="155"/>
    </row>
    <row r="376" spans="1:13" s="4" customFormat="1" ht="35.1" customHeight="1" x14ac:dyDescent="0.3">
      <c r="A376" s="13"/>
      <c r="B376" s="14"/>
      <c r="C376" s="15"/>
      <c r="D376" s="246" t="s">
        <v>359</v>
      </c>
      <c r="E376" s="247">
        <f>SUM(E375)</f>
        <v>84.7</v>
      </c>
      <c r="F376" s="248" t="s">
        <v>17</v>
      </c>
      <c r="G376" s="19"/>
      <c r="H376" s="20"/>
      <c r="J376" s="133"/>
      <c r="K376" s="138"/>
      <c r="L376" s="133"/>
      <c r="M376" s="155"/>
    </row>
    <row r="377" spans="1:13" s="4" customFormat="1" ht="35.1" customHeight="1" x14ac:dyDescent="0.3">
      <c r="A377" s="13"/>
      <c r="B377" s="14"/>
      <c r="C377" s="15"/>
      <c r="D377" s="239"/>
      <c r="E377" s="240"/>
      <c r="F377" s="241"/>
      <c r="G377" s="19"/>
      <c r="H377" s="20"/>
      <c r="J377" s="133"/>
      <c r="K377" s="138"/>
      <c r="L377" s="133"/>
      <c r="M377" s="155"/>
    </row>
    <row r="378" spans="1:13" s="4" customFormat="1" ht="35.1" customHeight="1" x14ac:dyDescent="0.3">
      <c r="A378" s="13"/>
      <c r="B378" s="14"/>
      <c r="C378" s="15"/>
      <c r="D378" s="16" t="s">
        <v>657</v>
      </c>
      <c r="E378" s="65"/>
      <c r="F378" s="74"/>
      <c r="G378" s="19"/>
      <c r="H378" s="20"/>
      <c r="J378" s="133"/>
      <c r="K378" s="138"/>
      <c r="L378" s="133"/>
      <c r="M378" s="155"/>
    </row>
    <row r="379" spans="1:13" s="4" customFormat="1" ht="35.1" customHeight="1" x14ac:dyDescent="0.3">
      <c r="A379" s="13"/>
      <c r="B379" s="14"/>
      <c r="C379" s="15"/>
      <c r="D379" s="16" t="s">
        <v>357</v>
      </c>
      <c r="E379" s="65"/>
      <c r="F379" s="74"/>
      <c r="G379" s="19"/>
      <c r="H379" s="20"/>
      <c r="J379" s="133"/>
      <c r="K379" s="138"/>
      <c r="L379" s="133"/>
      <c r="M379" s="155"/>
    </row>
    <row r="380" spans="1:13" s="4" customFormat="1" ht="35.1" customHeight="1" x14ac:dyDescent="0.3">
      <c r="A380" s="13"/>
      <c r="B380" s="14"/>
      <c r="C380" s="15"/>
      <c r="D380" s="16" t="s">
        <v>598</v>
      </c>
      <c r="E380" s="65">
        <f>(0.15+0.3)*1*2.5</f>
        <v>1.125</v>
      </c>
      <c r="F380" s="74" t="s">
        <v>17</v>
      </c>
      <c r="G380" s="19"/>
      <c r="H380" s="20"/>
      <c r="J380" s="133"/>
      <c r="K380" s="138"/>
      <c r="L380" s="133"/>
      <c r="M380" s="155"/>
    </row>
    <row r="381" spans="1:13" s="4" customFormat="1" ht="35.1" customHeight="1" x14ac:dyDescent="0.3">
      <c r="A381" s="13"/>
      <c r="B381" s="14"/>
      <c r="C381" s="15"/>
      <c r="D381" s="16" t="s">
        <v>597</v>
      </c>
      <c r="E381" s="65">
        <f>(0.15+0.3)*1*2.5</f>
        <v>1.125</v>
      </c>
      <c r="F381" s="74" t="s">
        <v>17</v>
      </c>
      <c r="G381" s="19"/>
      <c r="H381" s="20"/>
      <c r="J381" s="133"/>
      <c r="K381" s="138"/>
      <c r="L381" s="133"/>
      <c r="M381" s="155"/>
    </row>
    <row r="382" spans="1:13" s="4" customFormat="1" ht="35.1" customHeight="1" x14ac:dyDescent="0.3">
      <c r="A382" s="13"/>
      <c r="B382" s="14"/>
      <c r="C382" s="15"/>
      <c r="D382" s="16" t="s">
        <v>599</v>
      </c>
      <c r="E382" s="65">
        <f t="shared" ref="E382:E403" si="28">(0.15+0.3)*1*2.5</f>
        <v>1.125</v>
      </c>
      <c r="F382" s="74" t="s">
        <v>17</v>
      </c>
      <c r="G382" s="19"/>
      <c r="H382" s="20"/>
      <c r="J382" s="133"/>
      <c r="K382" s="138"/>
      <c r="L382" s="133"/>
      <c r="M382" s="155"/>
    </row>
    <row r="383" spans="1:13" s="4" customFormat="1" ht="35.1" customHeight="1" x14ac:dyDescent="0.3">
      <c r="A383" s="13"/>
      <c r="B383" s="14"/>
      <c r="C383" s="15"/>
      <c r="D383" s="16" t="s">
        <v>600</v>
      </c>
      <c r="E383" s="65">
        <f t="shared" si="28"/>
        <v>1.125</v>
      </c>
      <c r="F383" s="74" t="s">
        <v>17</v>
      </c>
      <c r="G383" s="19"/>
      <c r="H383" s="20"/>
      <c r="J383" s="133"/>
      <c r="K383" s="138"/>
      <c r="L383" s="133"/>
      <c r="M383" s="155"/>
    </row>
    <row r="384" spans="1:13" s="4" customFormat="1" ht="35.1" customHeight="1" x14ac:dyDescent="0.3">
      <c r="A384" s="13"/>
      <c r="B384" s="14"/>
      <c r="C384" s="15"/>
      <c r="D384" s="16" t="s">
        <v>601</v>
      </c>
      <c r="E384" s="65">
        <f t="shared" si="28"/>
        <v>1.125</v>
      </c>
      <c r="F384" s="74" t="s">
        <v>17</v>
      </c>
      <c r="G384" s="19"/>
      <c r="H384" s="20"/>
      <c r="J384" s="133"/>
      <c r="K384" s="138"/>
      <c r="L384" s="133"/>
      <c r="M384" s="155"/>
    </row>
    <row r="385" spans="1:13" s="4" customFormat="1" ht="35.1" customHeight="1" x14ac:dyDescent="0.3">
      <c r="A385" s="13"/>
      <c r="B385" s="14"/>
      <c r="C385" s="15"/>
      <c r="D385" s="16" t="s">
        <v>602</v>
      </c>
      <c r="E385" s="65">
        <f>(0.15+0.3)*1*(3.5+1)</f>
        <v>2.0249999999999999</v>
      </c>
      <c r="F385" s="74" t="s">
        <v>17</v>
      </c>
      <c r="G385" s="19"/>
      <c r="H385" s="20"/>
      <c r="J385" s="133"/>
      <c r="K385" s="138"/>
      <c r="L385" s="133"/>
      <c r="M385" s="155"/>
    </row>
    <row r="386" spans="1:13" s="4" customFormat="1" ht="35.1" customHeight="1" x14ac:dyDescent="0.3">
      <c r="A386" s="13"/>
      <c r="B386" s="14"/>
      <c r="C386" s="15"/>
      <c r="D386" s="16" t="s">
        <v>603</v>
      </c>
      <c r="E386" s="65">
        <f t="shared" si="28"/>
        <v>1.125</v>
      </c>
      <c r="F386" s="74" t="s">
        <v>17</v>
      </c>
      <c r="G386" s="19"/>
      <c r="H386" s="20"/>
      <c r="J386" s="133"/>
      <c r="K386" s="138"/>
      <c r="L386" s="133"/>
      <c r="M386" s="155"/>
    </row>
    <row r="387" spans="1:13" s="4" customFormat="1" ht="35.1" customHeight="1" x14ac:dyDescent="0.3">
      <c r="A387" s="13"/>
      <c r="B387" s="14"/>
      <c r="C387" s="15"/>
      <c r="D387" s="16" t="s">
        <v>604</v>
      </c>
      <c r="E387" s="65">
        <f>(0.15+0.3)*1*(3.5+1)</f>
        <v>2.0249999999999999</v>
      </c>
      <c r="F387" s="74" t="s">
        <v>17</v>
      </c>
      <c r="G387" s="19"/>
      <c r="H387" s="20"/>
      <c r="J387" s="133"/>
      <c r="K387" s="138"/>
      <c r="L387" s="133"/>
      <c r="M387" s="155"/>
    </row>
    <row r="388" spans="1:13" s="4" customFormat="1" ht="35.1" customHeight="1" x14ac:dyDescent="0.3">
      <c r="A388" s="13"/>
      <c r="B388" s="14"/>
      <c r="C388" s="15"/>
      <c r="D388" s="16" t="s">
        <v>605</v>
      </c>
      <c r="E388" s="65">
        <f t="shared" si="28"/>
        <v>1.125</v>
      </c>
      <c r="F388" s="74" t="s">
        <v>17</v>
      </c>
      <c r="G388" s="19"/>
      <c r="H388" s="20"/>
      <c r="J388" s="133"/>
      <c r="K388" s="138"/>
      <c r="L388" s="133"/>
      <c r="M388" s="155"/>
    </row>
    <row r="389" spans="1:13" s="4" customFormat="1" ht="35.1" customHeight="1" x14ac:dyDescent="0.3">
      <c r="A389" s="13"/>
      <c r="B389" s="14"/>
      <c r="C389" s="15"/>
      <c r="D389" s="16" t="s">
        <v>606</v>
      </c>
      <c r="E389" s="65">
        <f t="shared" si="28"/>
        <v>1.125</v>
      </c>
      <c r="F389" s="74" t="s">
        <v>17</v>
      </c>
      <c r="G389" s="19"/>
      <c r="H389" s="20"/>
      <c r="J389" s="133"/>
      <c r="K389" s="138"/>
      <c r="L389" s="133"/>
      <c r="M389" s="155"/>
    </row>
    <row r="390" spans="1:13" s="4" customFormat="1" ht="35.1" customHeight="1" x14ac:dyDescent="0.3">
      <c r="A390" s="13"/>
      <c r="B390" s="14"/>
      <c r="C390" s="15"/>
      <c r="D390" s="16" t="s">
        <v>607</v>
      </c>
      <c r="E390" s="65">
        <f t="shared" si="28"/>
        <v>1.125</v>
      </c>
      <c r="F390" s="74" t="s">
        <v>17</v>
      </c>
      <c r="G390" s="19"/>
      <c r="H390" s="20"/>
      <c r="J390" s="133"/>
      <c r="K390" s="138"/>
      <c r="L390" s="133"/>
      <c r="M390" s="155"/>
    </row>
    <row r="391" spans="1:13" s="4" customFormat="1" ht="35.1" customHeight="1" x14ac:dyDescent="0.3">
      <c r="A391" s="13"/>
      <c r="B391" s="14"/>
      <c r="C391" s="15"/>
      <c r="D391" s="16" t="s">
        <v>608</v>
      </c>
      <c r="E391" s="65">
        <f>(0.15+0.3)*1*3.5</f>
        <v>1.5749999999999997</v>
      </c>
      <c r="F391" s="74" t="s">
        <v>17</v>
      </c>
      <c r="G391" s="19"/>
      <c r="H391" s="20"/>
      <c r="J391" s="133"/>
      <c r="K391" s="138"/>
      <c r="L391" s="133"/>
      <c r="M391" s="155"/>
    </row>
    <row r="392" spans="1:13" s="4" customFormat="1" ht="35.1" customHeight="1" x14ac:dyDescent="0.3">
      <c r="A392" s="13"/>
      <c r="B392" s="14"/>
      <c r="C392" s="15"/>
      <c r="D392" s="16" t="s">
        <v>610</v>
      </c>
      <c r="E392" s="65">
        <f t="shared" si="28"/>
        <v>1.125</v>
      </c>
      <c r="F392" s="74" t="s">
        <v>17</v>
      </c>
      <c r="G392" s="19"/>
      <c r="H392" s="20"/>
      <c r="J392" s="133"/>
      <c r="K392" s="138"/>
      <c r="L392" s="133"/>
      <c r="M392" s="155"/>
    </row>
    <row r="393" spans="1:13" s="4" customFormat="1" ht="35.1" customHeight="1" x14ac:dyDescent="0.3">
      <c r="A393" s="13"/>
      <c r="B393" s="14"/>
      <c r="C393" s="15"/>
      <c r="D393" s="16" t="s">
        <v>609</v>
      </c>
      <c r="E393" s="65">
        <f>(0.15+0.3)*1*(3.5+1)</f>
        <v>2.0249999999999999</v>
      </c>
      <c r="F393" s="74" t="s">
        <v>17</v>
      </c>
      <c r="G393" s="19"/>
      <c r="H393" s="20"/>
      <c r="J393" s="133"/>
      <c r="K393" s="138"/>
      <c r="L393" s="133"/>
      <c r="M393" s="155"/>
    </row>
    <row r="394" spans="1:13" s="4" customFormat="1" ht="35.1" customHeight="1" x14ac:dyDescent="0.3">
      <c r="A394" s="13"/>
      <c r="B394" s="14"/>
      <c r="C394" s="15"/>
      <c r="D394" s="16" t="s">
        <v>611</v>
      </c>
      <c r="E394" s="65">
        <f t="shared" si="28"/>
        <v>1.125</v>
      </c>
      <c r="F394" s="74" t="s">
        <v>17</v>
      </c>
      <c r="G394" s="19"/>
      <c r="H394" s="20"/>
      <c r="J394" s="133"/>
      <c r="K394" s="138"/>
      <c r="L394" s="133"/>
      <c r="M394" s="155"/>
    </row>
    <row r="395" spans="1:13" s="4" customFormat="1" ht="35.1" customHeight="1" x14ac:dyDescent="0.3">
      <c r="A395" s="13"/>
      <c r="B395" s="14"/>
      <c r="C395" s="15"/>
      <c r="D395" s="16" t="s">
        <v>612</v>
      </c>
      <c r="E395" s="65">
        <f t="shared" si="28"/>
        <v>1.125</v>
      </c>
      <c r="F395" s="74" t="s">
        <v>17</v>
      </c>
      <c r="G395" s="19"/>
      <c r="H395" s="20"/>
      <c r="J395" s="133"/>
      <c r="K395" s="138"/>
      <c r="L395" s="133"/>
      <c r="M395" s="155"/>
    </row>
    <row r="396" spans="1:13" s="4" customFormat="1" ht="35.1" customHeight="1" x14ac:dyDescent="0.3">
      <c r="A396" s="13"/>
      <c r="B396" s="14"/>
      <c r="C396" s="15"/>
      <c r="D396" s="16" t="s">
        <v>613</v>
      </c>
      <c r="E396" s="65">
        <f t="shared" si="28"/>
        <v>1.125</v>
      </c>
      <c r="F396" s="74" t="s">
        <v>17</v>
      </c>
      <c r="G396" s="19"/>
      <c r="H396" s="20"/>
      <c r="J396" s="133"/>
      <c r="K396" s="138"/>
      <c r="L396" s="133"/>
      <c r="M396" s="155"/>
    </row>
    <row r="397" spans="1:13" s="4" customFormat="1" ht="35.1" customHeight="1" x14ac:dyDescent="0.3">
      <c r="A397" s="13"/>
      <c r="B397" s="14"/>
      <c r="C397" s="15"/>
      <c r="D397" s="16" t="s">
        <v>614</v>
      </c>
      <c r="E397" s="65">
        <f>(0.15+0.3)*1*(3.5+1)</f>
        <v>2.0249999999999999</v>
      </c>
      <c r="F397" s="74" t="s">
        <v>17</v>
      </c>
      <c r="G397" s="19"/>
      <c r="H397" s="20"/>
      <c r="J397" s="133"/>
      <c r="K397" s="138"/>
      <c r="L397" s="133"/>
      <c r="M397" s="155"/>
    </row>
    <row r="398" spans="1:13" s="4" customFormat="1" ht="35.1" customHeight="1" x14ac:dyDescent="0.3">
      <c r="A398" s="13"/>
      <c r="B398" s="14"/>
      <c r="C398" s="15"/>
      <c r="D398" s="16" t="s">
        <v>615</v>
      </c>
      <c r="E398" s="65">
        <f t="shared" si="28"/>
        <v>1.125</v>
      </c>
      <c r="F398" s="74" t="s">
        <v>17</v>
      </c>
      <c r="G398" s="19"/>
      <c r="H398" s="20"/>
      <c r="J398" s="133"/>
      <c r="K398" s="138"/>
      <c r="L398" s="133"/>
      <c r="M398" s="155"/>
    </row>
    <row r="399" spans="1:13" s="4" customFormat="1" ht="35.1" customHeight="1" x14ac:dyDescent="0.3">
      <c r="A399" s="13"/>
      <c r="B399" s="14"/>
      <c r="C399" s="15"/>
      <c r="D399" s="16" t="s">
        <v>616</v>
      </c>
      <c r="E399" s="65">
        <f t="shared" si="28"/>
        <v>1.125</v>
      </c>
      <c r="F399" s="74" t="s">
        <v>17</v>
      </c>
      <c r="G399" s="19"/>
      <c r="H399" s="20"/>
      <c r="J399" s="133"/>
      <c r="K399" s="138"/>
      <c r="L399" s="133"/>
      <c r="M399" s="155"/>
    </row>
    <row r="400" spans="1:13" s="4" customFormat="1" ht="35.1" customHeight="1" x14ac:dyDescent="0.3">
      <c r="A400" s="13"/>
      <c r="B400" s="14"/>
      <c r="C400" s="15"/>
      <c r="D400" s="16" t="s">
        <v>617</v>
      </c>
      <c r="E400" s="65">
        <f t="shared" si="28"/>
        <v>1.125</v>
      </c>
      <c r="F400" s="74" t="s">
        <v>17</v>
      </c>
      <c r="G400" s="19"/>
      <c r="H400" s="20"/>
      <c r="J400" s="133"/>
      <c r="K400" s="138"/>
      <c r="L400" s="133"/>
      <c r="M400" s="155"/>
    </row>
    <row r="401" spans="1:13" s="4" customFormat="1" ht="35.1" customHeight="1" x14ac:dyDescent="0.3">
      <c r="A401" s="13"/>
      <c r="B401" s="14"/>
      <c r="C401" s="15"/>
      <c r="D401" s="16" t="s">
        <v>618</v>
      </c>
      <c r="E401" s="65">
        <f>(0.15+0.3)*1*(3.5+1)</f>
        <v>2.0249999999999999</v>
      </c>
      <c r="F401" s="74" t="s">
        <v>17</v>
      </c>
      <c r="G401" s="19"/>
      <c r="H401" s="20"/>
      <c r="J401" s="133"/>
      <c r="K401" s="138"/>
      <c r="L401" s="133"/>
      <c r="M401" s="155"/>
    </row>
    <row r="402" spans="1:13" s="4" customFormat="1" ht="35.1" customHeight="1" x14ac:dyDescent="0.3">
      <c r="A402" s="13"/>
      <c r="B402" s="14"/>
      <c r="C402" s="15"/>
      <c r="D402" s="16" t="s">
        <v>619</v>
      </c>
      <c r="E402" s="65">
        <f t="shared" si="28"/>
        <v>1.125</v>
      </c>
      <c r="F402" s="74" t="s">
        <v>17</v>
      </c>
      <c r="G402" s="19"/>
      <c r="H402" s="20"/>
      <c r="J402" s="133"/>
      <c r="K402" s="138"/>
      <c r="L402" s="133"/>
      <c r="M402" s="155"/>
    </row>
    <row r="403" spans="1:13" s="4" customFormat="1" ht="35.1" customHeight="1" x14ac:dyDescent="0.3">
      <c r="A403" s="13"/>
      <c r="B403" s="14"/>
      <c r="C403" s="15"/>
      <c r="D403" s="16" t="s">
        <v>620</v>
      </c>
      <c r="E403" s="65">
        <f t="shared" si="28"/>
        <v>1.125</v>
      </c>
      <c r="F403" s="74" t="s">
        <v>17</v>
      </c>
      <c r="G403" s="19"/>
      <c r="H403" s="20"/>
      <c r="J403" s="133"/>
      <c r="K403" s="138"/>
      <c r="L403" s="133"/>
      <c r="M403" s="155"/>
    </row>
    <row r="404" spans="1:13" s="4" customFormat="1" ht="35.1" customHeight="1" x14ac:dyDescent="0.3">
      <c r="A404" s="13"/>
      <c r="B404" s="14"/>
      <c r="C404" s="15"/>
      <c r="D404" s="243" t="s">
        <v>358</v>
      </c>
      <c r="E404" s="244">
        <f>SUM(E380:E403)</f>
        <v>31.949999999999996</v>
      </c>
      <c r="F404" s="245" t="s">
        <v>17</v>
      </c>
      <c r="G404" s="19"/>
      <c r="H404" s="20"/>
      <c r="J404" s="133"/>
      <c r="K404" s="138"/>
      <c r="L404" s="133"/>
      <c r="M404" s="155"/>
    </row>
    <row r="405" spans="1:13" s="4" customFormat="1" ht="35.1" customHeight="1" x14ac:dyDescent="0.3">
      <c r="A405" s="13"/>
      <c r="B405" s="14"/>
      <c r="C405" s="15"/>
      <c r="D405" s="24"/>
      <c r="E405" s="25"/>
      <c r="F405" s="26"/>
      <c r="G405" s="19"/>
      <c r="H405" s="20"/>
      <c r="J405" s="133"/>
      <c r="K405" s="138"/>
      <c r="L405" s="133"/>
      <c r="M405" s="155"/>
    </row>
    <row r="406" spans="1:13" s="4" customFormat="1" ht="35.1" customHeight="1" x14ac:dyDescent="0.3">
      <c r="A406" s="13"/>
      <c r="B406" s="14"/>
      <c r="C406" s="15"/>
      <c r="D406" s="16" t="s">
        <v>360</v>
      </c>
      <c r="E406" s="25"/>
      <c r="F406" s="26"/>
      <c r="G406" s="19"/>
      <c r="H406" s="20"/>
      <c r="J406" s="133"/>
      <c r="K406" s="138"/>
      <c r="L406" s="133"/>
      <c r="M406" s="155"/>
    </row>
    <row r="407" spans="1:13" s="4" customFormat="1" ht="35.1" customHeight="1" x14ac:dyDescent="0.3">
      <c r="A407" s="13"/>
      <c r="B407" s="14"/>
      <c r="C407" s="15"/>
      <c r="D407" s="16" t="s">
        <v>662</v>
      </c>
      <c r="E407" s="65">
        <f>(0.15+0.3)*1*3.5</f>
        <v>1.5749999999999997</v>
      </c>
      <c r="F407" s="74" t="s">
        <v>17</v>
      </c>
      <c r="G407" s="19"/>
      <c r="H407" s="20"/>
      <c r="J407" s="133"/>
      <c r="K407" s="138"/>
      <c r="L407" s="133"/>
      <c r="M407" s="155"/>
    </row>
    <row r="408" spans="1:13" s="4" customFormat="1" ht="35.1" customHeight="1" x14ac:dyDescent="0.3">
      <c r="A408" s="13"/>
      <c r="B408" s="14"/>
      <c r="C408" s="15"/>
      <c r="D408" s="16" t="s">
        <v>663</v>
      </c>
      <c r="E408" s="65">
        <f>(0.15+0.3)*1*2.5</f>
        <v>1.125</v>
      </c>
      <c r="F408" s="74" t="s">
        <v>17</v>
      </c>
      <c r="G408" s="19"/>
      <c r="H408" s="20"/>
      <c r="J408" s="133"/>
      <c r="K408" s="138"/>
      <c r="L408" s="133"/>
      <c r="M408" s="155"/>
    </row>
    <row r="409" spans="1:13" s="4" customFormat="1" ht="35.1" customHeight="1" x14ac:dyDescent="0.3">
      <c r="A409" s="13"/>
      <c r="B409" s="14"/>
      <c r="C409" s="15"/>
      <c r="D409" s="16" t="s">
        <v>664</v>
      </c>
      <c r="E409" s="65">
        <f>(0.15+0.3)*1*3.5</f>
        <v>1.5749999999999997</v>
      </c>
      <c r="F409" s="74" t="s">
        <v>17</v>
      </c>
      <c r="G409" s="19"/>
      <c r="H409" s="20"/>
      <c r="J409" s="133"/>
      <c r="K409" s="138"/>
      <c r="L409" s="133"/>
      <c r="M409" s="155"/>
    </row>
    <row r="410" spans="1:13" s="4" customFormat="1" ht="35.1" customHeight="1" x14ac:dyDescent="0.3">
      <c r="A410" s="13"/>
      <c r="B410" s="14"/>
      <c r="C410" s="15"/>
      <c r="D410" s="16" t="s">
        <v>665</v>
      </c>
      <c r="E410" s="65">
        <f>(0.15+0.3)*1*(3.5+1)</f>
        <v>2.0249999999999999</v>
      </c>
      <c r="F410" s="74" t="s">
        <v>17</v>
      </c>
      <c r="G410" s="19"/>
      <c r="H410" s="20"/>
      <c r="J410" s="133"/>
      <c r="K410" s="138"/>
      <c r="L410" s="133"/>
      <c r="M410" s="155"/>
    </row>
    <row r="411" spans="1:13" s="4" customFormat="1" ht="35.1" customHeight="1" x14ac:dyDescent="0.3">
      <c r="A411" s="13"/>
      <c r="B411" s="14"/>
      <c r="C411" s="15"/>
      <c r="D411" s="16" t="s">
        <v>666</v>
      </c>
      <c r="E411" s="65">
        <f>(0.15+0.3)*1*3.5</f>
        <v>1.5749999999999997</v>
      </c>
      <c r="F411" s="74" t="s">
        <v>17</v>
      </c>
      <c r="G411" s="19"/>
      <c r="H411" s="20"/>
      <c r="J411" s="133"/>
      <c r="K411" s="138"/>
      <c r="L411" s="133"/>
      <c r="M411" s="155"/>
    </row>
    <row r="412" spans="1:13" s="4" customFormat="1" ht="35.1" customHeight="1" x14ac:dyDescent="0.3">
      <c r="A412" s="13"/>
      <c r="B412" s="14"/>
      <c r="C412" s="15"/>
      <c r="D412" s="16" t="s">
        <v>669</v>
      </c>
      <c r="E412" s="65">
        <f>(0.15+0.3)*1*2.5</f>
        <v>1.125</v>
      </c>
      <c r="F412" s="74" t="s">
        <v>17</v>
      </c>
      <c r="G412" s="19"/>
      <c r="H412" s="20"/>
      <c r="J412" s="133"/>
      <c r="K412" s="138"/>
      <c r="L412" s="133"/>
      <c r="M412" s="155"/>
    </row>
    <row r="413" spans="1:13" s="4" customFormat="1" ht="35.1" customHeight="1" x14ac:dyDescent="0.3">
      <c r="A413" s="13"/>
      <c r="B413" s="14"/>
      <c r="C413" s="15"/>
      <c r="D413" s="16" t="s">
        <v>667</v>
      </c>
      <c r="E413" s="65">
        <f>(0.15+0.3)*1*3.5</f>
        <v>1.5749999999999997</v>
      </c>
      <c r="F413" s="74" t="s">
        <v>17</v>
      </c>
      <c r="G413" s="19"/>
      <c r="H413" s="20"/>
      <c r="J413" s="133"/>
      <c r="K413" s="138"/>
      <c r="L413" s="133"/>
      <c r="M413" s="155"/>
    </row>
    <row r="414" spans="1:13" s="4" customFormat="1" ht="35.1" customHeight="1" x14ac:dyDescent="0.3">
      <c r="A414" s="13"/>
      <c r="B414" s="14"/>
      <c r="C414" s="15"/>
      <c r="D414" s="16" t="s">
        <v>668</v>
      </c>
      <c r="E414" s="65">
        <f>(0.15+0.3)*1*2.5</f>
        <v>1.125</v>
      </c>
      <c r="F414" s="74" t="s">
        <v>17</v>
      </c>
      <c r="G414" s="19"/>
      <c r="H414" s="20"/>
      <c r="J414" s="133"/>
      <c r="K414" s="138"/>
      <c r="L414" s="133"/>
      <c r="M414" s="155"/>
    </row>
    <row r="415" spans="1:13" s="4" customFormat="1" ht="35.1" customHeight="1" x14ac:dyDescent="0.3">
      <c r="A415" s="13"/>
      <c r="B415" s="14"/>
      <c r="C415" s="15"/>
      <c r="D415" s="16" t="s">
        <v>670</v>
      </c>
      <c r="E415" s="65">
        <f>(0.15+0.3)*1*3.5</f>
        <v>1.5749999999999997</v>
      </c>
      <c r="F415" s="74" t="s">
        <v>17</v>
      </c>
      <c r="G415" s="19"/>
      <c r="H415" s="20"/>
      <c r="J415" s="133"/>
      <c r="K415" s="138"/>
      <c r="L415" s="133"/>
      <c r="M415" s="155"/>
    </row>
    <row r="416" spans="1:13" s="4" customFormat="1" ht="35.1" customHeight="1" x14ac:dyDescent="0.3">
      <c r="A416" s="13"/>
      <c r="B416" s="14"/>
      <c r="C416" s="15"/>
      <c r="D416" s="16" t="s">
        <v>671</v>
      </c>
      <c r="E416" s="65">
        <f>(0.15+0.3)*1*(3.5+1)</f>
        <v>2.0249999999999999</v>
      </c>
      <c r="F416" s="74" t="s">
        <v>17</v>
      </c>
      <c r="G416" s="19"/>
      <c r="H416" s="20"/>
      <c r="J416" s="133"/>
      <c r="K416" s="138"/>
      <c r="L416" s="133"/>
      <c r="M416" s="155"/>
    </row>
    <row r="417" spans="1:13" s="4" customFormat="1" ht="35.1" customHeight="1" x14ac:dyDescent="0.3">
      <c r="A417" s="13"/>
      <c r="B417" s="14"/>
      <c r="C417" s="15"/>
      <c r="D417" s="16" t="s">
        <v>672</v>
      </c>
      <c r="E417" s="65">
        <f>(0.15+0.3)*1*3.5</f>
        <v>1.5749999999999997</v>
      </c>
      <c r="F417" s="74" t="s">
        <v>17</v>
      </c>
      <c r="G417" s="19"/>
      <c r="H417" s="20"/>
      <c r="J417" s="133"/>
      <c r="K417" s="138"/>
      <c r="L417" s="133"/>
      <c r="M417" s="155"/>
    </row>
    <row r="418" spans="1:13" s="4" customFormat="1" ht="35.1" customHeight="1" x14ac:dyDescent="0.3">
      <c r="A418" s="13"/>
      <c r="B418" s="14"/>
      <c r="C418" s="15"/>
      <c r="D418" s="16" t="s">
        <v>673</v>
      </c>
      <c r="E418" s="65">
        <f>(0.15+0.3)*1*2.5</f>
        <v>1.125</v>
      </c>
      <c r="F418" s="74" t="s">
        <v>17</v>
      </c>
      <c r="G418" s="19"/>
      <c r="H418" s="20"/>
      <c r="J418" s="133"/>
      <c r="K418" s="138"/>
      <c r="L418" s="133"/>
      <c r="M418" s="155"/>
    </row>
    <row r="419" spans="1:13" s="4" customFormat="1" ht="35.1" customHeight="1" x14ac:dyDescent="0.3">
      <c r="A419" s="13"/>
      <c r="B419" s="14"/>
      <c r="C419" s="15"/>
      <c r="D419" s="16" t="s">
        <v>674</v>
      </c>
      <c r="E419" s="65">
        <f>(0.15+0.3)*1*3.5</f>
        <v>1.5749999999999997</v>
      </c>
      <c r="F419" s="74" t="s">
        <v>17</v>
      </c>
      <c r="G419" s="19"/>
      <c r="H419" s="20"/>
      <c r="J419" s="133"/>
      <c r="K419" s="138"/>
      <c r="L419" s="133"/>
      <c r="M419" s="155"/>
    </row>
    <row r="420" spans="1:13" s="4" customFormat="1" ht="35.1" customHeight="1" x14ac:dyDescent="0.3">
      <c r="A420" s="13"/>
      <c r="B420" s="14"/>
      <c r="C420" s="15"/>
      <c r="D420" s="16" t="s">
        <v>675</v>
      </c>
      <c r="E420" s="65">
        <f>(0.15+0.3)*1*(3.5+1)</f>
        <v>2.0249999999999999</v>
      </c>
      <c r="F420" s="74" t="s">
        <v>17</v>
      </c>
      <c r="G420" s="19"/>
      <c r="H420" s="20"/>
      <c r="J420" s="133"/>
      <c r="K420" s="138"/>
      <c r="L420" s="133"/>
      <c r="M420" s="155"/>
    </row>
    <row r="421" spans="1:13" s="4" customFormat="1" ht="35.1" customHeight="1" x14ac:dyDescent="0.3">
      <c r="A421" s="13"/>
      <c r="B421" s="14"/>
      <c r="C421" s="15"/>
      <c r="D421" s="16" t="s">
        <v>676</v>
      </c>
      <c r="E421" s="65">
        <f>(0.15+0.3)*1*3.5</f>
        <v>1.5749999999999997</v>
      </c>
      <c r="F421" s="74" t="s">
        <v>17</v>
      </c>
      <c r="G421" s="19"/>
      <c r="H421" s="20"/>
      <c r="J421" s="133"/>
      <c r="K421" s="138"/>
      <c r="L421" s="133"/>
      <c r="M421" s="155"/>
    </row>
    <row r="422" spans="1:13" s="4" customFormat="1" ht="35.1" customHeight="1" x14ac:dyDescent="0.3">
      <c r="A422" s="13"/>
      <c r="B422" s="14"/>
      <c r="C422" s="15"/>
      <c r="D422" s="16" t="s">
        <v>677</v>
      </c>
      <c r="E422" s="65">
        <f>(0.15+0.3)*1*2.5</f>
        <v>1.125</v>
      </c>
      <c r="F422" s="74" t="s">
        <v>17</v>
      </c>
      <c r="G422" s="19"/>
      <c r="H422" s="20"/>
      <c r="J422" s="133"/>
      <c r="K422" s="138"/>
      <c r="L422" s="133"/>
      <c r="M422" s="155"/>
    </row>
    <row r="423" spans="1:13" s="4" customFormat="1" ht="35.1" customHeight="1" x14ac:dyDescent="0.3">
      <c r="A423" s="13"/>
      <c r="B423" s="14"/>
      <c r="C423" s="15"/>
      <c r="D423" s="16" t="s">
        <v>678</v>
      </c>
      <c r="E423" s="65">
        <f>(0.15+0.3)*1*3.5</f>
        <v>1.5749999999999997</v>
      </c>
      <c r="F423" s="74" t="s">
        <v>17</v>
      </c>
      <c r="G423" s="19"/>
      <c r="H423" s="20"/>
      <c r="J423" s="133"/>
      <c r="K423" s="138"/>
      <c r="L423" s="133"/>
      <c r="M423" s="155"/>
    </row>
    <row r="424" spans="1:13" s="4" customFormat="1" ht="35.1" customHeight="1" x14ac:dyDescent="0.3">
      <c r="A424" s="13"/>
      <c r="B424" s="14"/>
      <c r="C424" s="15"/>
      <c r="D424" s="16" t="s">
        <v>680</v>
      </c>
      <c r="E424" s="65">
        <f>(0.15+0.3)*1*(3.5+1)</f>
        <v>2.0249999999999999</v>
      </c>
      <c r="F424" s="74" t="s">
        <v>17</v>
      </c>
      <c r="G424" s="19"/>
      <c r="H424" s="20"/>
      <c r="J424" s="133"/>
      <c r="K424" s="138"/>
      <c r="L424" s="133"/>
      <c r="M424" s="155"/>
    </row>
    <row r="425" spans="1:13" s="4" customFormat="1" ht="35.1" customHeight="1" x14ac:dyDescent="0.3">
      <c r="A425" s="13"/>
      <c r="B425" s="14"/>
      <c r="C425" s="15"/>
      <c r="D425" s="16" t="s">
        <v>679</v>
      </c>
      <c r="E425" s="65">
        <f>(0.15+0.3)*1*3.5</f>
        <v>1.5749999999999997</v>
      </c>
      <c r="F425" s="74" t="s">
        <v>17</v>
      </c>
      <c r="G425" s="19"/>
      <c r="H425" s="20"/>
      <c r="J425" s="133"/>
      <c r="K425" s="138"/>
      <c r="L425" s="133"/>
      <c r="M425" s="155"/>
    </row>
    <row r="426" spans="1:13" s="4" customFormat="1" ht="35.1" customHeight="1" x14ac:dyDescent="0.3">
      <c r="A426" s="13"/>
      <c r="B426" s="14"/>
      <c r="C426" s="15"/>
      <c r="D426" s="16" t="s">
        <v>681</v>
      </c>
      <c r="E426" s="65">
        <f>(0.15+0.3)*1*2.5</f>
        <v>1.125</v>
      </c>
      <c r="F426" s="74" t="s">
        <v>17</v>
      </c>
      <c r="G426" s="19"/>
      <c r="H426" s="20"/>
      <c r="J426" s="133"/>
      <c r="K426" s="138"/>
      <c r="L426" s="133"/>
      <c r="M426" s="155"/>
    </row>
    <row r="427" spans="1:13" s="4" customFormat="1" ht="35.1" customHeight="1" x14ac:dyDescent="0.3">
      <c r="A427" s="13"/>
      <c r="B427" s="14"/>
      <c r="C427" s="15"/>
      <c r="D427" s="16" t="s">
        <v>682</v>
      </c>
      <c r="E427" s="65">
        <f>(0.15+0.3)*1*3.5</f>
        <v>1.5749999999999997</v>
      </c>
      <c r="F427" s="74" t="s">
        <v>17</v>
      </c>
      <c r="G427" s="19"/>
      <c r="H427" s="20"/>
      <c r="J427" s="133"/>
      <c r="K427" s="138"/>
      <c r="L427" s="133"/>
      <c r="M427" s="155"/>
    </row>
    <row r="428" spans="1:13" s="4" customFormat="1" ht="35.1" customHeight="1" x14ac:dyDescent="0.3">
      <c r="A428" s="13"/>
      <c r="B428" s="14"/>
      <c r="C428" s="15"/>
      <c r="D428" s="16" t="s">
        <v>683</v>
      </c>
      <c r="E428" s="65">
        <f>(0.15+0.3)*1*2.5</f>
        <v>1.125</v>
      </c>
      <c r="F428" s="74" t="s">
        <v>17</v>
      </c>
      <c r="G428" s="19"/>
      <c r="H428" s="20"/>
      <c r="J428" s="133"/>
      <c r="K428" s="138"/>
      <c r="L428" s="133"/>
      <c r="M428" s="155"/>
    </row>
    <row r="429" spans="1:13" s="4" customFormat="1" ht="35.1" customHeight="1" x14ac:dyDescent="0.3">
      <c r="A429" s="13"/>
      <c r="B429" s="14"/>
      <c r="C429" s="15"/>
      <c r="D429" s="16" t="s">
        <v>684</v>
      </c>
      <c r="E429" s="65">
        <f>(0.15+0.3)*1*3.5</f>
        <v>1.5749999999999997</v>
      </c>
      <c r="F429" s="74" t="s">
        <v>17</v>
      </c>
      <c r="G429" s="19"/>
      <c r="H429" s="20"/>
      <c r="J429" s="133"/>
      <c r="K429" s="138"/>
      <c r="L429" s="133"/>
      <c r="M429" s="155"/>
    </row>
    <row r="430" spans="1:13" s="4" customFormat="1" ht="35.1" customHeight="1" x14ac:dyDescent="0.3">
      <c r="A430" s="13"/>
      <c r="B430" s="14"/>
      <c r="C430" s="15"/>
      <c r="D430" s="16" t="s">
        <v>685</v>
      </c>
      <c r="E430" s="65">
        <f>(0.15+0.3)*1*(3.5+1)</f>
        <v>2.0249999999999999</v>
      </c>
      <c r="F430" s="74" t="s">
        <v>17</v>
      </c>
      <c r="G430" s="19"/>
      <c r="H430" s="20"/>
      <c r="J430" s="133"/>
      <c r="K430" s="138"/>
      <c r="L430" s="133"/>
      <c r="M430" s="155"/>
    </row>
    <row r="431" spans="1:13" s="4" customFormat="1" ht="35.1" customHeight="1" x14ac:dyDescent="0.3">
      <c r="A431" s="13"/>
      <c r="B431" s="14"/>
      <c r="C431" s="15"/>
      <c r="D431" s="16" t="s">
        <v>686</v>
      </c>
      <c r="E431" s="65">
        <f>(0.15+0.3)*1*3.5</f>
        <v>1.5749999999999997</v>
      </c>
      <c r="F431" s="74" t="s">
        <v>17</v>
      </c>
      <c r="G431" s="19"/>
      <c r="H431" s="20"/>
      <c r="J431" s="133"/>
      <c r="K431" s="138"/>
      <c r="L431" s="133"/>
      <c r="M431" s="155"/>
    </row>
    <row r="432" spans="1:13" s="4" customFormat="1" ht="35.1" customHeight="1" x14ac:dyDescent="0.3">
      <c r="A432" s="13"/>
      <c r="B432" s="14"/>
      <c r="C432" s="15"/>
      <c r="D432" s="16" t="s">
        <v>687</v>
      </c>
      <c r="E432" s="65">
        <f>(0.15+0.3)*1*(3.5+1)</f>
        <v>2.0249999999999999</v>
      </c>
      <c r="F432" s="74" t="s">
        <v>17</v>
      </c>
      <c r="G432" s="19"/>
      <c r="H432" s="20"/>
      <c r="J432" s="133"/>
      <c r="K432" s="138"/>
      <c r="L432" s="133"/>
      <c r="M432" s="155"/>
    </row>
    <row r="433" spans="1:13" s="4" customFormat="1" ht="35.1" customHeight="1" x14ac:dyDescent="0.3">
      <c r="A433" s="13"/>
      <c r="B433" s="14"/>
      <c r="C433" s="15"/>
      <c r="D433" s="16" t="s">
        <v>688</v>
      </c>
      <c r="E433" s="65">
        <f>(0.15+0.3)*1*3.5</f>
        <v>1.5749999999999997</v>
      </c>
      <c r="F433" s="74" t="s">
        <v>17</v>
      </c>
      <c r="G433" s="19"/>
      <c r="H433" s="20"/>
      <c r="J433" s="133"/>
      <c r="K433" s="138"/>
      <c r="L433" s="133"/>
      <c r="M433" s="155"/>
    </row>
    <row r="434" spans="1:13" s="4" customFormat="1" ht="35.1" customHeight="1" x14ac:dyDescent="0.3">
      <c r="A434" s="13"/>
      <c r="B434" s="14"/>
      <c r="C434" s="15"/>
      <c r="D434" s="16" t="s">
        <v>689</v>
      </c>
      <c r="E434" s="65">
        <f>(0.15+0.3)*1*2.5</f>
        <v>1.125</v>
      </c>
      <c r="F434" s="74" t="s">
        <v>17</v>
      </c>
      <c r="G434" s="19"/>
      <c r="H434" s="20"/>
      <c r="J434" s="133"/>
      <c r="K434" s="138"/>
      <c r="L434" s="133"/>
      <c r="M434" s="155"/>
    </row>
    <row r="435" spans="1:13" s="4" customFormat="1" ht="35.1" customHeight="1" x14ac:dyDescent="0.3">
      <c r="A435" s="13"/>
      <c r="B435" s="14"/>
      <c r="C435" s="15"/>
      <c r="D435" s="243" t="s">
        <v>361</v>
      </c>
      <c r="E435" s="244">
        <f>SUM(E407:E434)</f>
        <v>43.199999999999996</v>
      </c>
      <c r="F435" s="245" t="s">
        <v>17</v>
      </c>
      <c r="G435" s="19"/>
      <c r="H435" s="20"/>
      <c r="J435" s="133"/>
      <c r="K435" s="138"/>
      <c r="L435" s="133"/>
      <c r="M435" s="155"/>
    </row>
    <row r="436" spans="1:13" s="4" customFormat="1" ht="35.1" customHeight="1" x14ac:dyDescent="0.3">
      <c r="A436" s="13"/>
      <c r="B436" s="14"/>
      <c r="C436" s="15"/>
      <c r="D436" s="243"/>
      <c r="E436" s="244"/>
      <c r="F436" s="245"/>
      <c r="G436" s="19"/>
      <c r="H436" s="20"/>
      <c r="J436" s="133"/>
      <c r="K436" s="138"/>
      <c r="L436" s="133"/>
      <c r="M436" s="155"/>
    </row>
    <row r="437" spans="1:13" s="4" customFormat="1" ht="35.1" customHeight="1" x14ac:dyDescent="0.3">
      <c r="A437" s="13"/>
      <c r="B437" s="14"/>
      <c r="C437" s="15"/>
      <c r="D437" s="24" t="s">
        <v>428</v>
      </c>
      <c r="E437" s="25"/>
      <c r="F437" s="26"/>
      <c r="G437" s="19"/>
      <c r="H437" s="20"/>
      <c r="J437" s="133"/>
      <c r="K437" s="138"/>
      <c r="L437" s="133"/>
      <c r="M437" s="155"/>
    </row>
    <row r="438" spans="1:13" s="4" customFormat="1" ht="35.1" customHeight="1" x14ac:dyDescent="0.3">
      <c r="A438" s="13"/>
      <c r="B438" s="14"/>
      <c r="C438" s="15"/>
      <c r="D438" s="24" t="s">
        <v>661</v>
      </c>
      <c r="E438" s="25">
        <f>2*(0.15+0.3)*1*6</f>
        <v>5.3999999999999995</v>
      </c>
      <c r="F438" s="26" t="s">
        <v>17</v>
      </c>
      <c r="G438" s="19"/>
      <c r="H438" s="20"/>
      <c r="J438" s="133"/>
      <c r="K438" s="138"/>
      <c r="L438" s="133"/>
      <c r="M438" s="155"/>
    </row>
    <row r="439" spans="1:13" s="4" customFormat="1" ht="35.1" customHeight="1" x14ac:dyDescent="0.3">
      <c r="A439" s="13"/>
      <c r="B439" s="14"/>
      <c r="C439" s="15"/>
      <c r="D439" s="243" t="s">
        <v>369</v>
      </c>
      <c r="E439" s="244">
        <f>SUM(E438)</f>
        <v>5.3999999999999995</v>
      </c>
      <c r="F439" s="245" t="s">
        <v>17</v>
      </c>
      <c r="G439" s="19"/>
      <c r="H439" s="20"/>
      <c r="J439" s="133"/>
      <c r="K439" s="138"/>
      <c r="L439" s="133"/>
      <c r="M439" s="155"/>
    </row>
    <row r="440" spans="1:13" s="4" customFormat="1" ht="35.1" customHeight="1" x14ac:dyDescent="0.3">
      <c r="A440" s="13"/>
      <c r="B440" s="14"/>
      <c r="C440" s="15"/>
      <c r="D440" s="243" t="s">
        <v>362</v>
      </c>
      <c r="E440" s="244">
        <f>E376+E404+E435+E439</f>
        <v>165.25</v>
      </c>
      <c r="F440" s="245" t="s">
        <v>17</v>
      </c>
      <c r="G440" s="19"/>
      <c r="H440" s="20"/>
      <c r="J440" s="133"/>
      <c r="K440" s="138"/>
      <c r="L440" s="133"/>
      <c r="M440" s="155"/>
    </row>
    <row r="441" spans="1:13" s="4" customFormat="1" ht="35.1" customHeight="1" x14ac:dyDescent="0.3">
      <c r="A441" s="13"/>
      <c r="B441" s="14"/>
      <c r="C441" s="15"/>
      <c r="D441" s="90"/>
      <c r="E441" s="91"/>
      <c r="F441" s="92"/>
      <c r="G441" s="19"/>
      <c r="H441" s="20"/>
      <c r="J441" s="133"/>
      <c r="K441" s="138"/>
      <c r="L441" s="133"/>
      <c r="M441" s="155"/>
    </row>
    <row r="442" spans="1:13" s="4" customFormat="1" ht="35.1" customHeight="1" x14ac:dyDescent="0.3">
      <c r="A442" s="13"/>
      <c r="B442" s="14"/>
      <c r="C442" s="15"/>
      <c r="D442" s="24" t="s">
        <v>430</v>
      </c>
      <c r="E442" s="25"/>
      <c r="F442" s="26"/>
      <c r="G442" s="19"/>
      <c r="H442" s="20"/>
      <c r="J442" s="133"/>
      <c r="K442" s="138"/>
      <c r="L442" s="133"/>
      <c r="M442" s="155"/>
    </row>
    <row r="443" spans="1:13" s="4" customFormat="1" ht="35.1" customHeight="1" x14ac:dyDescent="0.3">
      <c r="A443" s="13"/>
      <c r="B443" s="14"/>
      <c r="C443" s="15"/>
      <c r="D443" s="24" t="s">
        <v>621</v>
      </c>
      <c r="E443" s="25">
        <f>(0.15+0.3)*0.7*(116-6)</f>
        <v>34.649999999999991</v>
      </c>
      <c r="F443" s="26" t="s">
        <v>17</v>
      </c>
      <c r="G443" s="19"/>
      <c r="H443" s="20"/>
      <c r="J443" s="133"/>
      <c r="K443" s="138"/>
      <c r="L443" s="133"/>
      <c r="M443" s="155"/>
    </row>
    <row r="444" spans="1:13" s="4" customFormat="1" ht="35.1" customHeight="1" x14ac:dyDescent="0.3">
      <c r="A444" s="13"/>
      <c r="B444" s="14"/>
      <c r="C444" s="15"/>
      <c r="D444" s="246" t="s">
        <v>367</v>
      </c>
      <c r="E444" s="247">
        <f>SUM(E443)</f>
        <v>34.649999999999991</v>
      </c>
      <c r="F444" s="248" t="s">
        <v>17</v>
      </c>
      <c r="G444" s="19"/>
      <c r="H444" s="20"/>
      <c r="J444" s="133"/>
      <c r="K444" s="138"/>
      <c r="L444" s="133"/>
      <c r="M444" s="155"/>
    </row>
    <row r="445" spans="1:13" s="4" customFormat="1" ht="35.1" customHeight="1" x14ac:dyDescent="0.3">
      <c r="A445" s="13"/>
      <c r="B445" s="14"/>
      <c r="C445" s="15"/>
      <c r="D445" s="243"/>
      <c r="E445" s="244"/>
      <c r="F445" s="245"/>
      <c r="G445" s="19"/>
      <c r="H445" s="20"/>
      <c r="J445" s="133"/>
      <c r="K445" s="138"/>
      <c r="L445" s="133"/>
      <c r="M445" s="155"/>
    </row>
    <row r="446" spans="1:13" s="4" customFormat="1" ht="35.1" customHeight="1" x14ac:dyDescent="0.3">
      <c r="A446" s="13"/>
      <c r="B446" s="14"/>
      <c r="C446" s="15"/>
      <c r="D446" s="16" t="s">
        <v>363</v>
      </c>
      <c r="E446" s="244"/>
      <c r="F446" s="245"/>
      <c r="G446" s="19"/>
      <c r="H446" s="20"/>
      <c r="J446" s="133"/>
      <c r="K446" s="138"/>
      <c r="L446" s="133"/>
      <c r="M446" s="155"/>
    </row>
    <row r="447" spans="1:13" s="4" customFormat="1" ht="35.1" customHeight="1" x14ac:dyDescent="0.3">
      <c r="A447" s="13"/>
      <c r="B447" s="14"/>
      <c r="C447" s="15"/>
      <c r="D447" s="16" t="s">
        <v>357</v>
      </c>
      <c r="E447" s="65"/>
      <c r="F447" s="74"/>
      <c r="G447" s="19"/>
      <c r="H447" s="20"/>
      <c r="J447" s="133"/>
      <c r="K447" s="138"/>
      <c r="L447" s="133"/>
      <c r="M447" s="155"/>
    </row>
    <row r="448" spans="1:13" s="4" customFormat="1" ht="35.1" customHeight="1" x14ac:dyDescent="0.3">
      <c r="A448" s="13"/>
      <c r="B448" s="14"/>
      <c r="C448" s="15"/>
      <c r="D448" s="16" t="s">
        <v>417</v>
      </c>
      <c r="E448" s="65">
        <f>1*3.5*0</f>
        <v>0</v>
      </c>
      <c r="F448" s="74" t="s">
        <v>17</v>
      </c>
      <c r="G448" s="19"/>
      <c r="H448" s="20"/>
      <c r="J448" s="133"/>
      <c r="K448" s="138"/>
      <c r="L448" s="133"/>
      <c r="M448" s="155"/>
    </row>
    <row r="449" spans="1:13" s="4" customFormat="1" ht="35.1" customHeight="1" x14ac:dyDescent="0.3">
      <c r="A449" s="13"/>
      <c r="B449" s="14"/>
      <c r="C449" s="15"/>
      <c r="D449" s="16" t="s">
        <v>622</v>
      </c>
      <c r="E449" s="65">
        <f>(0.05+0.3)*1*2.5</f>
        <v>0.875</v>
      </c>
      <c r="F449" s="74" t="s">
        <v>17</v>
      </c>
      <c r="G449" s="19"/>
      <c r="H449" s="20"/>
      <c r="J449" s="133"/>
      <c r="K449" s="138"/>
      <c r="L449" s="133"/>
      <c r="M449" s="155"/>
    </row>
    <row r="450" spans="1:13" s="4" customFormat="1" ht="35.1" customHeight="1" x14ac:dyDescent="0.3">
      <c r="A450" s="13"/>
      <c r="B450" s="14"/>
      <c r="C450" s="15"/>
      <c r="D450" s="16" t="s">
        <v>623</v>
      </c>
      <c r="E450" s="65">
        <f t="shared" ref="E450:E464" si="29">(0.05+0.3)*1*2.5</f>
        <v>0.875</v>
      </c>
      <c r="F450" s="74" t="s">
        <v>17</v>
      </c>
      <c r="G450" s="19"/>
      <c r="H450" s="20"/>
      <c r="J450" s="133"/>
      <c r="K450" s="138"/>
      <c r="L450" s="133"/>
      <c r="M450" s="155"/>
    </row>
    <row r="451" spans="1:13" s="4" customFormat="1" ht="35.1" customHeight="1" x14ac:dyDescent="0.3">
      <c r="A451" s="13"/>
      <c r="B451" s="14"/>
      <c r="C451" s="15"/>
      <c r="D451" s="16" t="s">
        <v>624</v>
      </c>
      <c r="E451" s="65">
        <f t="shared" si="29"/>
        <v>0.875</v>
      </c>
      <c r="F451" s="74" t="s">
        <v>17</v>
      </c>
      <c r="G451" s="19"/>
      <c r="H451" s="20"/>
      <c r="J451" s="133"/>
      <c r="K451" s="138"/>
      <c r="L451" s="133"/>
      <c r="M451" s="155"/>
    </row>
    <row r="452" spans="1:13" s="4" customFormat="1" ht="35.1" customHeight="1" x14ac:dyDescent="0.3">
      <c r="A452" s="13"/>
      <c r="B452" s="14"/>
      <c r="C452" s="15"/>
      <c r="D452" s="16" t="s">
        <v>625</v>
      </c>
      <c r="E452" s="65">
        <f t="shared" si="29"/>
        <v>0.875</v>
      </c>
      <c r="F452" s="74" t="s">
        <v>17</v>
      </c>
      <c r="G452" s="19"/>
      <c r="H452" s="20"/>
      <c r="J452" s="133"/>
      <c r="K452" s="138"/>
      <c r="L452" s="133"/>
      <c r="M452" s="155"/>
    </row>
    <row r="453" spans="1:13" s="4" customFormat="1" ht="35.1" customHeight="1" x14ac:dyDescent="0.3">
      <c r="A453" s="13"/>
      <c r="B453" s="14"/>
      <c r="C453" s="15"/>
      <c r="D453" s="16" t="s">
        <v>626</v>
      </c>
      <c r="E453" s="65">
        <f t="shared" si="29"/>
        <v>0.875</v>
      </c>
      <c r="F453" s="74" t="s">
        <v>17</v>
      </c>
      <c r="G453" s="19"/>
      <c r="H453" s="20"/>
      <c r="J453" s="133"/>
      <c r="K453" s="138"/>
      <c r="L453" s="133"/>
      <c r="M453" s="155"/>
    </row>
    <row r="454" spans="1:13" s="4" customFormat="1" ht="35.1" customHeight="1" x14ac:dyDescent="0.3">
      <c r="A454" s="13"/>
      <c r="B454" s="14"/>
      <c r="C454" s="15"/>
      <c r="D454" s="16" t="s">
        <v>627</v>
      </c>
      <c r="E454" s="65">
        <f t="shared" si="29"/>
        <v>0.875</v>
      </c>
      <c r="F454" s="74" t="s">
        <v>17</v>
      </c>
      <c r="G454" s="19"/>
      <c r="H454" s="20"/>
      <c r="J454" s="133"/>
      <c r="K454" s="138"/>
      <c r="L454" s="133"/>
      <c r="M454" s="155"/>
    </row>
    <row r="455" spans="1:13" s="4" customFormat="1" ht="35.1" customHeight="1" x14ac:dyDescent="0.3">
      <c r="A455" s="13"/>
      <c r="B455" s="14"/>
      <c r="C455" s="15"/>
      <c r="D455" s="16" t="s">
        <v>628</v>
      </c>
      <c r="E455" s="65">
        <f t="shared" si="29"/>
        <v>0.875</v>
      </c>
      <c r="F455" s="74" t="s">
        <v>17</v>
      </c>
      <c r="G455" s="19"/>
      <c r="H455" s="20"/>
      <c r="J455" s="133"/>
      <c r="K455" s="138"/>
      <c r="L455" s="133"/>
      <c r="M455" s="155"/>
    </row>
    <row r="456" spans="1:13" s="4" customFormat="1" ht="35.1" customHeight="1" x14ac:dyDescent="0.3">
      <c r="A456" s="13"/>
      <c r="B456" s="14"/>
      <c r="C456" s="15"/>
      <c r="D456" s="16" t="s">
        <v>629</v>
      </c>
      <c r="E456" s="65">
        <f t="shared" si="29"/>
        <v>0.875</v>
      </c>
      <c r="F456" s="74" t="s">
        <v>17</v>
      </c>
      <c r="G456" s="19"/>
      <c r="H456" s="20"/>
      <c r="J456" s="133"/>
      <c r="K456" s="138"/>
      <c r="L456" s="133"/>
      <c r="M456" s="155"/>
    </row>
    <row r="457" spans="1:13" s="4" customFormat="1" ht="35.1" customHeight="1" x14ac:dyDescent="0.3">
      <c r="A457" s="13"/>
      <c r="B457" s="14"/>
      <c r="C457" s="15"/>
      <c r="D457" s="16" t="s">
        <v>630</v>
      </c>
      <c r="E457" s="65">
        <f t="shared" si="29"/>
        <v>0.875</v>
      </c>
      <c r="F457" s="74" t="s">
        <v>17</v>
      </c>
      <c r="G457" s="19"/>
      <c r="H457" s="20"/>
      <c r="J457" s="133"/>
      <c r="K457" s="138"/>
      <c r="L457" s="133"/>
      <c r="M457" s="155"/>
    </row>
    <row r="458" spans="1:13" s="4" customFormat="1" ht="35.1" customHeight="1" x14ac:dyDescent="0.3">
      <c r="A458" s="13"/>
      <c r="B458" s="14"/>
      <c r="C458" s="15"/>
      <c r="D458" s="16" t="s">
        <v>631</v>
      </c>
      <c r="E458" s="65">
        <f t="shared" si="29"/>
        <v>0.875</v>
      </c>
      <c r="F458" s="74" t="s">
        <v>17</v>
      </c>
      <c r="G458" s="19"/>
      <c r="H458" s="20"/>
      <c r="J458" s="133"/>
      <c r="K458" s="138"/>
      <c r="L458" s="133"/>
      <c r="M458" s="155"/>
    </row>
    <row r="459" spans="1:13" s="4" customFormat="1" ht="35.1" customHeight="1" x14ac:dyDescent="0.3">
      <c r="A459" s="13"/>
      <c r="B459" s="14"/>
      <c r="C459" s="15"/>
      <c r="D459" s="16" t="s">
        <v>632</v>
      </c>
      <c r="E459" s="65">
        <f t="shared" si="29"/>
        <v>0.875</v>
      </c>
      <c r="F459" s="74" t="s">
        <v>17</v>
      </c>
      <c r="G459" s="19"/>
      <c r="H459" s="20"/>
      <c r="J459" s="133"/>
      <c r="K459" s="138"/>
      <c r="L459" s="133"/>
      <c r="M459" s="155"/>
    </row>
    <row r="460" spans="1:13" s="4" customFormat="1" ht="35.1" customHeight="1" x14ac:dyDescent="0.3">
      <c r="A460" s="13"/>
      <c r="B460" s="14"/>
      <c r="C460" s="15"/>
      <c r="D460" s="16" t="s">
        <v>633</v>
      </c>
      <c r="E460" s="65">
        <f t="shared" si="29"/>
        <v>0.875</v>
      </c>
      <c r="F460" s="74" t="s">
        <v>17</v>
      </c>
      <c r="G460" s="19"/>
      <c r="H460" s="20"/>
      <c r="J460" s="133"/>
      <c r="K460" s="138"/>
      <c r="L460" s="133"/>
      <c r="M460" s="155"/>
    </row>
    <row r="461" spans="1:13" s="4" customFormat="1" ht="35.1" customHeight="1" x14ac:dyDescent="0.3">
      <c r="A461" s="13"/>
      <c r="B461" s="14"/>
      <c r="C461" s="15"/>
      <c r="D461" s="16" t="s">
        <v>634</v>
      </c>
      <c r="E461" s="65">
        <f t="shared" si="29"/>
        <v>0.875</v>
      </c>
      <c r="F461" s="74" t="s">
        <v>17</v>
      </c>
      <c r="G461" s="19"/>
      <c r="H461" s="20"/>
      <c r="J461" s="133"/>
      <c r="K461" s="138"/>
      <c r="L461" s="133"/>
      <c r="M461" s="155"/>
    </row>
    <row r="462" spans="1:13" s="4" customFormat="1" ht="35.1" customHeight="1" x14ac:dyDescent="0.3">
      <c r="A462" s="13"/>
      <c r="B462" s="14"/>
      <c r="C462" s="15"/>
      <c r="D462" s="16" t="s">
        <v>635</v>
      </c>
      <c r="E462" s="65">
        <f t="shared" si="29"/>
        <v>0.875</v>
      </c>
      <c r="F462" s="74" t="s">
        <v>17</v>
      </c>
      <c r="G462" s="19"/>
      <c r="H462" s="20"/>
      <c r="J462" s="133"/>
      <c r="K462" s="138"/>
      <c r="L462" s="133"/>
      <c r="M462" s="155"/>
    </row>
    <row r="463" spans="1:13" s="4" customFormat="1" ht="35.1" customHeight="1" x14ac:dyDescent="0.3">
      <c r="A463" s="13"/>
      <c r="B463" s="14"/>
      <c r="C463" s="15"/>
      <c r="D463" s="16" t="s">
        <v>636</v>
      </c>
      <c r="E463" s="65">
        <f t="shared" si="29"/>
        <v>0.875</v>
      </c>
      <c r="F463" s="74" t="s">
        <v>17</v>
      </c>
      <c r="G463" s="19"/>
      <c r="H463" s="20"/>
      <c r="J463" s="133"/>
      <c r="K463" s="138"/>
      <c r="L463" s="133"/>
      <c r="M463" s="155"/>
    </row>
    <row r="464" spans="1:13" s="4" customFormat="1" ht="35.1" customHeight="1" x14ac:dyDescent="0.3">
      <c r="A464" s="13"/>
      <c r="B464" s="14"/>
      <c r="C464" s="15"/>
      <c r="D464" s="16" t="s">
        <v>637</v>
      </c>
      <c r="E464" s="65">
        <f t="shared" si="29"/>
        <v>0.875</v>
      </c>
      <c r="F464" s="74" t="s">
        <v>17</v>
      </c>
      <c r="G464" s="19"/>
      <c r="H464" s="20"/>
      <c r="J464" s="133"/>
      <c r="K464" s="138"/>
      <c r="L464" s="133"/>
      <c r="M464" s="155"/>
    </row>
    <row r="465" spans="1:13" s="4" customFormat="1" ht="35.1" customHeight="1" x14ac:dyDescent="0.3">
      <c r="A465" s="13"/>
      <c r="B465" s="14"/>
      <c r="C465" s="15"/>
      <c r="D465" s="243" t="s">
        <v>364</v>
      </c>
      <c r="E465" s="244">
        <f>SUM(E448:E464)</f>
        <v>14</v>
      </c>
      <c r="F465" s="245" t="s">
        <v>17</v>
      </c>
      <c r="G465" s="19"/>
      <c r="H465" s="20"/>
      <c r="J465" s="133"/>
      <c r="K465" s="138"/>
      <c r="L465" s="133"/>
      <c r="M465" s="155"/>
    </row>
    <row r="466" spans="1:13" s="4" customFormat="1" ht="35.1" customHeight="1" x14ac:dyDescent="0.3">
      <c r="A466" s="13"/>
      <c r="B466" s="14"/>
      <c r="C466" s="15"/>
      <c r="D466" s="243"/>
      <c r="E466" s="244"/>
      <c r="F466" s="245"/>
      <c r="G466" s="19"/>
      <c r="H466" s="20"/>
      <c r="J466" s="133"/>
      <c r="K466" s="138"/>
      <c r="L466" s="133"/>
      <c r="M466" s="155"/>
    </row>
    <row r="467" spans="1:13" s="4" customFormat="1" ht="35.1" customHeight="1" x14ac:dyDescent="0.3">
      <c r="A467" s="13"/>
      <c r="B467" s="14"/>
      <c r="C467" s="15"/>
      <c r="D467" s="16" t="s">
        <v>360</v>
      </c>
      <c r="E467" s="25"/>
      <c r="F467" s="26"/>
      <c r="G467" s="19"/>
      <c r="H467" s="20"/>
      <c r="J467" s="133"/>
      <c r="K467" s="138"/>
      <c r="L467" s="133"/>
      <c r="M467" s="155"/>
    </row>
    <row r="468" spans="1:13" s="4" customFormat="1" ht="35.1" customHeight="1" x14ac:dyDescent="0.3">
      <c r="A468" s="13"/>
      <c r="B468" s="14"/>
      <c r="C468" s="15"/>
      <c r="D468" s="16" t="s">
        <v>638</v>
      </c>
      <c r="E468" s="65">
        <f>(0.05+0.3)*1*3.5</f>
        <v>1.2249999999999999</v>
      </c>
      <c r="F468" s="74" t="s">
        <v>17</v>
      </c>
      <c r="G468" s="19"/>
      <c r="H468" s="20"/>
      <c r="J468" s="133"/>
      <c r="K468" s="138"/>
      <c r="L468" s="133"/>
      <c r="M468" s="155"/>
    </row>
    <row r="469" spans="1:13" s="4" customFormat="1" ht="35.1" customHeight="1" x14ac:dyDescent="0.3">
      <c r="A469" s="13"/>
      <c r="B469" s="14"/>
      <c r="C469" s="15"/>
      <c r="D469" s="16" t="s">
        <v>639</v>
      </c>
      <c r="E469" s="65">
        <f>(0.05+0.3)*1*2.5</f>
        <v>0.875</v>
      </c>
      <c r="F469" s="74" t="s">
        <v>17</v>
      </c>
      <c r="G469" s="19"/>
      <c r="H469" s="20"/>
      <c r="J469" s="133"/>
      <c r="K469" s="138"/>
      <c r="L469" s="133"/>
      <c r="M469" s="155"/>
    </row>
    <row r="470" spans="1:13" s="4" customFormat="1" ht="35.1" customHeight="1" x14ac:dyDescent="0.3">
      <c r="A470" s="13"/>
      <c r="B470" s="14"/>
      <c r="C470" s="15"/>
      <c r="D470" s="16" t="s">
        <v>640</v>
      </c>
      <c r="E470" s="65">
        <f>(0.05+0.3)*1*3.5</f>
        <v>1.2249999999999999</v>
      </c>
      <c r="F470" s="74" t="s">
        <v>17</v>
      </c>
      <c r="G470" s="19"/>
      <c r="H470" s="20"/>
      <c r="J470" s="133"/>
      <c r="K470" s="138"/>
      <c r="L470" s="133"/>
      <c r="M470" s="155"/>
    </row>
    <row r="471" spans="1:13" s="4" customFormat="1" ht="35.1" customHeight="1" x14ac:dyDescent="0.3">
      <c r="A471" s="13"/>
      <c r="B471" s="14"/>
      <c r="C471" s="15"/>
      <c r="D471" s="16" t="s">
        <v>641</v>
      </c>
      <c r="E471" s="65">
        <f>(0.05+0.3)*1*2.5</f>
        <v>0.875</v>
      </c>
      <c r="F471" s="74" t="s">
        <v>17</v>
      </c>
      <c r="G471" s="19"/>
      <c r="H471" s="20"/>
      <c r="J471" s="133"/>
      <c r="K471" s="138"/>
      <c r="L471" s="133"/>
      <c r="M471" s="155"/>
    </row>
    <row r="472" spans="1:13" s="4" customFormat="1" ht="35.1" customHeight="1" x14ac:dyDescent="0.3">
      <c r="A472" s="13"/>
      <c r="B472" s="14"/>
      <c r="C472" s="15"/>
      <c r="D472" s="16" t="s">
        <v>642</v>
      </c>
      <c r="E472" s="65">
        <f>(0.05+0.3)*1*3.5</f>
        <v>1.2249999999999999</v>
      </c>
      <c r="F472" s="74" t="s">
        <v>17</v>
      </c>
      <c r="G472" s="19"/>
      <c r="H472" s="20"/>
      <c r="J472" s="133"/>
      <c r="K472" s="138"/>
      <c r="L472" s="133"/>
      <c r="M472" s="155"/>
    </row>
    <row r="473" spans="1:13" s="4" customFormat="1" ht="35.1" customHeight="1" x14ac:dyDescent="0.3">
      <c r="A473" s="13"/>
      <c r="B473" s="14"/>
      <c r="C473" s="15"/>
      <c r="D473" s="16" t="s">
        <v>643</v>
      </c>
      <c r="E473" s="65">
        <f>(0.05+0.3)*1*2.5</f>
        <v>0.875</v>
      </c>
      <c r="F473" s="74" t="s">
        <v>17</v>
      </c>
      <c r="G473" s="19"/>
      <c r="H473" s="20"/>
      <c r="J473" s="133"/>
      <c r="K473" s="138"/>
      <c r="L473" s="133"/>
      <c r="M473" s="155"/>
    </row>
    <row r="474" spans="1:13" s="4" customFormat="1" ht="35.1" customHeight="1" x14ac:dyDescent="0.3">
      <c r="A474" s="13"/>
      <c r="B474" s="14"/>
      <c r="C474" s="15"/>
      <c r="D474" s="16" t="s">
        <v>644</v>
      </c>
      <c r="E474" s="65">
        <f>(0.05+0.3)*1*3.5</f>
        <v>1.2249999999999999</v>
      </c>
      <c r="F474" s="74" t="s">
        <v>17</v>
      </c>
      <c r="G474" s="19"/>
      <c r="H474" s="20"/>
      <c r="J474" s="133"/>
      <c r="K474" s="138"/>
      <c r="L474" s="133"/>
      <c r="M474" s="155"/>
    </row>
    <row r="475" spans="1:13" s="4" customFormat="1" ht="35.1" customHeight="1" x14ac:dyDescent="0.3">
      <c r="A475" s="13"/>
      <c r="B475" s="14"/>
      <c r="C475" s="15"/>
      <c r="D475" s="16" t="s">
        <v>645</v>
      </c>
      <c r="E475" s="65">
        <f>(0.05+0.3)*1*2.5</f>
        <v>0.875</v>
      </c>
      <c r="F475" s="74" t="s">
        <v>17</v>
      </c>
      <c r="G475" s="19"/>
      <c r="H475" s="20"/>
      <c r="J475" s="133"/>
      <c r="K475" s="138"/>
      <c r="L475" s="133"/>
      <c r="M475" s="155"/>
    </row>
    <row r="476" spans="1:13" s="4" customFormat="1" ht="35.1" customHeight="1" x14ac:dyDescent="0.3">
      <c r="A476" s="13"/>
      <c r="B476" s="14"/>
      <c r="C476" s="15"/>
      <c r="D476" s="16" t="s">
        <v>646</v>
      </c>
      <c r="E476" s="65">
        <f>(0.05+0.3)*1*3.5</f>
        <v>1.2249999999999999</v>
      </c>
      <c r="F476" s="74" t="s">
        <v>17</v>
      </c>
      <c r="G476" s="19"/>
      <c r="H476" s="20"/>
      <c r="J476" s="133"/>
      <c r="K476" s="138"/>
      <c r="L476" s="133"/>
      <c r="M476" s="155"/>
    </row>
    <row r="477" spans="1:13" s="4" customFormat="1" ht="35.1" customHeight="1" x14ac:dyDescent="0.3">
      <c r="A477" s="13"/>
      <c r="B477" s="14"/>
      <c r="C477" s="15"/>
      <c r="D477" s="16" t="s">
        <v>647</v>
      </c>
      <c r="E477" s="65">
        <f>(0.05+0.3)*1*2.5</f>
        <v>0.875</v>
      </c>
      <c r="F477" s="74" t="s">
        <v>17</v>
      </c>
      <c r="G477" s="19"/>
      <c r="H477" s="20"/>
      <c r="J477" s="133"/>
      <c r="K477" s="138"/>
      <c r="L477" s="133"/>
      <c r="M477" s="155"/>
    </row>
    <row r="478" spans="1:13" s="4" customFormat="1" ht="35.1" customHeight="1" x14ac:dyDescent="0.3">
      <c r="A478" s="13"/>
      <c r="B478" s="14"/>
      <c r="C478" s="15"/>
      <c r="D478" s="16" t="s">
        <v>648</v>
      </c>
      <c r="E478" s="65">
        <f>(0.05+0.3)*1*3.5</f>
        <v>1.2249999999999999</v>
      </c>
      <c r="F478" s="74" t="s">
        <v>17</v>
      </c>
      <c r="G478" s="19"/>
      <c r="H478" s="20"/>
      <c r="J478" s="133"/>
      <c r="K478" s="138"/>
      <c r="L478" s="133"/>
      <c r="M478" s="155"/>
    </row>
    <row r="479" spans="1:13" s="4" customFormat="1" ht="35.1" customHeight="1" x14ac:dyDescent="0.3">
      <c r="A479" s="13"/>
      <c r="B479" s="14"/>
      <c r="C479" s="15"/>
      <c r="D479" s="16" t="s">
        <v>649</v>
      </c>
      <c r="E479" s="65">
        <f>(0.05+0.3)*1*2.5</f>
        <v>0.875</v>
      </c>
      <c r="F479" s="74" t="s">
        <v>17</v>
      </c>
      <c r="G479" s="19"/>
      <c r="H479" s="20"/>
      <c r="J479" s="133"/>
      <c r="K479" s="138"/>
      <c r="L479" s="133"/>
      <c r="M479" s="155"/>
    </row>
    <row r="480" spans="1:13" s="4" customFormat="1" ht="35.1" customHeight="1" x14ac:dyDescent="0.3">
      <c r="A480" s="13"/>
      <c r="B480" s="14"/>
      <c r="C480" s="15"/>
      <c r="D480" s="16" t="s">
        <v>650</v>
      </c>
      <c r="E480" s="65">
        <f>(0.05+0.3)*1*3.5</f>
        <v>1.2249999999999999</v>
      </c>
      <c r="F480" s="74" t="s">
        <v>17</v>
      </c>
      <c r="G480" s="19"/>
      <c r="H480" s="20"/>
      <c r="J480" s="133"/>
      <c r="K480" s="138"/>
      <c r="L480" s="133"/>
      <c r="M480" s="155"/>
    </row>
    <row r="481" spans="1:13" s="4" customFormat="1" ht="35.1" customHeight="1" x14ac:dyDescent="0.3">
      <c r="A481" s="13"/>
      <c r="B481" s="14"/>
      <c r="C481" s="15"/>
      <c r="D481" s="16" t="s">
        <v>651</v>
      </c>
      <c r="E481" s="65">
        <f>(0.05+0.3)*1*2.5</f>
        <v>0.875</v>
      </c>
      <c r="F481" s="74" t="s">
        <v>17</v>
      </c>
      <c r="G481" s="19"/>
      <c r="H481" s="20"/>
      <c r="J481" s="133"/>
      <c r="K481" s="138"/>
      <c r="L481" s="133"/>
      <c r="M481" s="155"/>
    </row>
    <row r="482" spans="1:13" s="4" customFormat="1" ht="35.1" customHeight="1" x14ac:dyDescent="0.3">
      <c r="A482" s="13"/>
      <c r="B482" s="14"/>
      <c r="C482" s="15"/>
      <c r="D482" s="16" t="s">
        <v>652</v>
      </c>
      <c r="E482" s="65">
        <f>(0.05+0.3)*1*3.5</f>
        <v>1.2249999999999999</v>
      </c>
      <c r="F482" s="74" t="s">
        <v>17</v>
      </c>
      <c r="G482" s="19"/>
      <c r="H482" s="20"/>
      <c r="J482" s="133"/>
      <c r="K482" s="138"/>
      <c r="L482" s="133"/>
      <c r="M482" s="155"/>
    </row>
    <row r="483" spans="1:13" s="4" customFormat="1" ht="35.1" customHeight="1" x14ac:dyDescent="0.3">
      <c r="A483" s="13"/>
      <c r="B483" s="14"/>
      <c r="C483" s="15"/>
      <c r="D483" s="16" t="s">
        <v>653</v>
      </c>
      <c r="E483" s="65">
        <f>(0.05+0.3)*1*2.5</f>
        <v>0.875</v>
      </c>
      <c r="F483" s="74" t="s">
        <v>17</v>
      </c>
      <c r="G483" s="19"/>
      <c r="H483" s="20"/>
      <c r="J483" s="133"/>
      <c r="K483" s="138"/>
      <c r="L483" s="133"/>
      <c r="M483" s="155"/>
    </row>
    <row r="484" spans="1:13" s="4" customFormat="1" ht="35.1" customHeight="1" x14ac:dyDescent="0.3">
      <c r="A484" s="13"/>
      <c r="B484" s="14"/>
      <c r="C484" s="15"/>
      <c r="D484" s="16" t="s">
        <v>654</v>
      </c>
      <c r="E484" s="65">
        <f>(0.05+0.3)*1*3.5</f>
        <v>1.2249999999999999</v>
      </c>
      <c r="F484" s="74" t="s">
        <v>17</v>
      </c>
      <c r="G484" s="19"/>
      <c r="H484" s="20"/>
      <c r="J484" s="133"/>
      <c r="K484" s="138"/>
      <c r="L484" s="133"/>
      <c r="M484" s="155"/>
    </row>
    <row r="485" spans="1:13" s="4" customFormat="1" ht="35.1" customHeight="1" x14ac:dyDescent="0.3">
      <c r="A485" s="13"/>
      <c r="B485" s="14"/>
      <c r="C485" s="15"/>
      <c r="D485" s="16" t="s">
        <v>655</v>
      </c>
      <c r="E485" s="65">
        <f>(0.05+0.3)*1*2.5</f>
        <v>0.875</v>
      </c>
      <c r="F485" s="74" t="s">
        <v>17</v>
      </c>
      <c r="G485" s="19"/>
      <c r="H485" s="20"/>
      <c r="J485" s="133"/>
      <c r="K485" s="138"/>
      <c r="L485" s="133"/>
      <c r="M485" s="155"/>
    </row>
    <row r="486" spans="1:13" s="4" customFormat="1" ht="35.1" customHeight="1" x14ac:dyDescent="0.3">
      <c r="A486" s="13"/>
      <c r="B486" s="14"/>
      <c r="C486" s="15"/>
      <c r="D486" s="16" t="s">
        <v>426</v>
      </c>
      <c r="E486" s="65">
        <f>(1.5-0.4)*1*3.5*0</f>
        <v>0</v>
      </c>
      <c r="F486" s="74" t="s">
        <v>17</v>
      </c>
      <c r="G486" s="19"/>
      <c r="H486" s="20"/>
      <c r="J486" s="133"/>
      <c r="K486" s="138"/>
      <c r="L486" s="133"/>
      <c r="M486" s="155"/>
    </row>
    <row r="487" spans="1:13" s="4" customFormat="1" ht="35.1" customHeight="1" x14ac:dyDescent="0.3">
      <c r="A487" s="13"/>
      <c r="B487" s="14"/>
      <c r="C487" s="15"/>
      <c r="D487" s="243" t="s">
        <v>365</v>
      </c>
      <c r="E487" s="244">
        <f>SUM(E468:E486)</f>
        <v>18.899999999999999</v>
      </c>
      <c r="F487" s="245" t="s">
        <v>17</v>
      </c>
      <c r="G487" s="19"/>
      <c r="H487" s="20"/>
      <c r="J487" s="133"/>
      <c r="K487" s="138"/>
      <c r="L487" s="133"/>
      <c r="M487" s="155"/>
    </row>
    <row r="488" spans="1:13" s="4" customFormat="1" ht="35.1" customHeight="1" x14ac:dyDescent="0.3">
      <c r="A488" s="13"/>
      <c r="B488" s="14"/>
      <c r="C488" s="15"/>
      <c r="D488" s="243" t="s">
        <v>366</v>
      </c>
      <c r="E488" s="244">
        <f>E444+E465+E487</f>
        <v>67.549999999999983</v>
      </c>
      <c r="F488" s="245" t="s">
        <v>17</v>
      </c>
      <c r="G488" s="19"/>
      <c r="H488" s="20"/>
      <c r="J488" s="133"/>
      <c r="K488" s="138"/>
      <c r="L488" s="133"/>
      <c r="M488" s="155"/>
    </row>
    <row r="489" spans="1:13" s="4" customFormat="1" ht="35.1" customHeight="1" x14ac:dyDescent="0.3">
      <c r="A489" s="13"/>
      <c r="B489" s="14"/>
      <c r="C489" s="15"/>
      <c r="D489" s="90"/>
      <c r="E489" s="91"/>
      <c r="F489" s="92"/>
      <c r="G489" s="19"/>
      <c r="H489" s="20"/>
      <c r="J489" s="133"/>
      <c r="K489" s="138"/>
      <c r="L489" s="133"/>
      <c r="M489" s="155"/>
    </row>
    <row r="490" spans="1:13" s="4" customFormat="1" ht="35.1" customHeight="1" x14ac:dyDescent="0.3">
      <c r="A490" s="13"/>
      <c r="B490" s="14"/>
      <c r="C490" s="15"/>
      <c r="D490" s="24" t="s">
        <v>372</v>
      </c>
      <c r="E490" s="25"/>
      <c r="F490" s="26"/>
      <c r="G490" s="19"/>
      <c r="H490" s="20"/>
      <c r="J490" s="133"/>
      <c r="K490" s="138"/>
      <c r="L490" s="133"/>
      <c r="M490" s="155"/>
    </row>
    <row r="491" spans="1:13" s="4" customFormat="1" ht="35.1" customHeight="1" x14ac:dyDescent="0.3">
      <c r="A491" s="13"/>
      <c r="B491" s="14"/>
      <c r="C491" s="15"/>
      <c r="D491" s="24" t="s">
        <v>432</v>
      </c>
      <c r="E491" s="25">
        <f>2*(2+2*0.1)*2*2*0</f>
        <v>0</v>
      </c>
      <c r="F491" s="26" t="s">
        <v>17</v>
      </c>
      <c r="G491" s="19"/>
      <c r="H491" s="20"/>
      <c r="J491" s="133"/>
      <c r="K491" s="138"/>
      <c r="L491" s="133"/>
      <c r="M491" s="155"/>
    </row>
    <row r="492" spans="1:13" s="4" customFormat="1" ht="35.1" customHeight="1" x14ac:dyDescent="0.3">
      <c r="A492" s="13"/>
      <c r="B492" s="14"/>
      <c r="C492" s="15"/>
      <c r="D492" s="24" t="s">
        <v>656</v>
      </c>
      <c r="E492" s="25">
        <f>1*(1.5-0.4)*1*1-3.14*0.6*0.6/4*1*(1.5-0.4)</f>
        <v>0.78914000000000017</v>
      </c>
      <c r="F492" s="26" t="s">
        <v>17</v>
      </c>
      <c r="G492" s="19"/>
      <c r="H492" s="20"/>
      <c r="J492" s="133"/>
      <c r="K492" s="138"/>
      <c r="L492" s="133"/>
      <c r="M492" s="155"/>
    </row>
    <row r="493" spans="1:13" s="4" customFormat="1" ht="35.1" customHeight="1" x14ac:dyDescent="0.3">
      <c r="A493" s="13"/>
      <c r="B493" s="14"/>
      <c r="C493" s="15"/>
      <c r="D493" s="243" t="s">
        <v>485</v>
      </c>
      <c r="E493" s="244">
        <f>SUM(E491:E492)</f>
        <v>0.78914000000000017</v>
      </c>
      <c r="F493" s="245" t="s">
        <v>17</v>
      </c>
      <c r="G493" s="19"/>
      <c r="H493" s="20"/>
      <c r="J493" s="133"/>
      <c r="K493" s="138"/>
      <c r="L493" s="133"/>
      <c r="M493" s="155"/>
    </row>
    <row r="494" spans="1:13" s="259" customFormat="1" ht="35.1" customHeight="1" x14ac:dyDescent="0.3">
      <c r="A494" s="256"/>
      <c r="B494" s="257"/>
      <c r="C494" s="258"/>
      <c r="D494" s="243" t="s">
        <v>18</v>
      </c>
      <c r="E494" s="244">
        <f>E493+E488+E440</f>
        <v>233.58913999999999</v>
      </c>
      <c r="F494" s="245" t="s">
        <v>17</v>
      </c>
      <c r="G494" s="98"/>
      <c r="H494" s="252"/>
      <c r="J494" s="260"/>
      <c r="K494" s="138"/>
      <c r="L494" s="260"/>
      <c r="M494" s="139"/>
    </row>
    <row r="495" spans="1:13" s="4" customFormat="1" ht="35.1" customHeight="1" x14ac:dyDescent="0.3">
      <c r="A495" s="13"/>
      <c r="B495" s="14"/>
      <c r="C495" s="15"/>
      <c r="D495" s="16"/>
      <c r="E495" s="17"/>
      <c r="F495" s="18"/>
      <c r="G495" s="19"/>
      <c r="H495" s="20"/>
      <c r="J495" s="133"/>
      <c r="K495" s="138"/>
      <c r="L495" s="133"/>
      <c r="M495" s="155"/>
    </row>
    <row r="496" spans="1:13" s="4" customFormat="1" ht="35.1" customHeight="1" x14ac:dyDescent="0.3">
      <c r="A496" s="87"/>
      <c r="B496" s="88"/>
      <c r="C496" s="89"/>
      <c r="D496" s="90" t="s">
        <v>593</v>
      </c>
      <c r="E496" s="91">
        <f>-3.14*0.4*0.4/4*(116-6)</f>
        <v>-13.816000000000003</v>
      </c>
      <c r="F496" s="92" t="s">
        <v>17</v>
      </c>
      <c r="G496" s="98"/>
      <c r="H496" s="20"/>
      <c r="J496" s="133"/>
      <c r="K496" s="138"/>
      <c r="L496" s="133"/>
      <c r="M496" s="139"/>
    </row>
    <row r="497" spans="1:13" s="273" customFormat="1" ht="35.1" customHeight="1" x14ac:dyDescent="0.3">
      <c r="A497" s="265"/>
      <c r="B497" s="266"/>
      <c r="C497" s="267"/>
      <c r="D497" s="90" t="s">
        <v>897</v>
      </c>
      <c r="E497" s="91">
        <f>-3.14*0.15*0.15/4*(181-2*6)</f>
        <v>-2.9849624999999995</v>
      </c>
      <c r="F497" s="92" t="s">
        <v>17</v>
      </c>
      <c r="G497" s="98"/>
      <c r="H497" s="20"/>
      <c r="J497" s="274"/>
      <c r="K497" s="275"/>
      <c r="L497" s="274"/>
      <c r="M497" s="276"/>
    </row>
    <row r="498" spans="1:13" s="4" customFormat="1" ht="35.1" customHeight="1" x14ac:dyDescent="0.3">
      <c r="A498" s="87"/>
      <c r="B498" s="88"/>
      <c r="C498" s="89"/>
      <c r="D498" s="90" t="s">
        <v>594</v>
      </c>
      <c r="E498" s="91">
        <f>-3.14*0.15*0.15/4*6*2</f>
        <v>-0.21194999999999997</v>
      </c>
      <c r="F498" s="92" t="s">
        <v>17</v>
      </c>
      <c r="G498" s="98"/>
      <c r="H498" s="20"/>
      <c r="J498" s="133"/>
      <c r="K498" s="138"/>
      <c r="L498" s="133"/>
      <c r="M498" s="139"/>
    </row>
    <row r="499" spans="1:13" s="4" customFormat="1" ht="35.1" customHeight="1" x14ac:dyDescent="0.3">
      <c r="A499" s="87"/>
      <c r="B499" s="88"/>
      <c r="C499" s="89"/>
      <c r="D499" s="90" t="s">
        <v>595</v>
      </c>
      <c r="E499" s="91">
        <f>-3.14*0.16*0.16/4*(116-6)</f>
        <v>-2.2105600000000001</v>
      </c>
      <c r="F499" s="92" t="s">
        <v>17</v>
      </c>
      <c r="G499" s="98"/>
      <c r="H499" s="20"/>
      <c r="J499" s="133"/>
      <c r="K499" s="138"/>
      <c r="L499" s="133"/>
      <c r="M499" s="139"/>
    </row>
    <row r="500" spans="1:13" s="273" customFormat="1" ht="35.1" customHeight="1" x14ac:dyDescent="0.3">
      <c r="A500" s="265"/>
      <c r="B500" s="266"/>
      <c r="C500" s="267"/>
      <c r="D500" s="268" t="s">
        <v>659</v>
      </c>
      <c r="E500" s="269">
        <f>-3.14*0.032*0.032/4*(8*5+9*6)</f>
        <v>-7.5560959999999996E-2</v>
      </c>
      <c r="F500" s="270" t="s">
        <v>17</v>
      </c>
      <c r="G500" s="271"/>
      <c r="H500" s="272"/>
      <c r="J500" s="274"/>
      <c r="K500" s="275"/>
      <c r="L500" s="274"/>
      <c r="M500" s="276"/>
    </row>
    <row r="501" spans="1:13" s="4" customFormat="1" ht="35.1" customHeight="1" x14ac:dyDescent="0.3">
      <c r="A501" s="87"/>
      <c r="B501" s="88"/>
      <c r="C501" s="89"/>
      <c r="D501" s="243" t="s">
        <v>205</v>
      </c>
      <c r="E501" s="244">
        <f>SUM(E496:E500)</f>
        <v>-19.299033460000004</v>
      </c>
      <c r="F501" s="245" t="s">
        <v>17</v>
      </c>
      <c r="G501" s="98"/>
      <c r="H501" s="20"/>
      <c r="J501" s="133"/>
      <c r="K501" s="138"/>
      <c r="L501" s="133"/>
      <c r="M501" s="139"/>
    </row>
    <row r="502" spans="1:13" s="263" customFormat="1" ht="35.1" customHeight="1" x14ac:dyDescent="0.3">
      <c r="A502" s="261"/>
      <c r="B502" s="100"/>
      <c r="C502" s="262"/>
      <c r="D502" s="243" t="s">
        <v>178</v>
      </c>
      <c r="E502" s="244">
        <f>E494+E501</f>
        <v>214.29010653999998</v>
      </c>
      <c r="F502" s="245" t="s">
        <v>17</v>
      </c>
      <c r="G502" s="93"/>
      <c r="H502" s="252"/>
      <c r="J502" s="264"/>
      <c r="K502" s="138"/>
      <c r="L502" s="264"/>
      <c r="M502" s="136"/>
    </row>
    <row r="503" spans="1:13" s="35" customFormat="1" ht="35.1" customHeight="1" x14ac:dyDescent="0.3">
      <c r="A503" s="30"/>
      <c r="B503" s="22"/>
      <c r="C503" s="31"/>
      <c r="D503" s="95"/>
      <c r="E503" s="32"/>
      <c r="F503" s="33"/>
      <c r="G503" s="34"/>
      <c r="H503" s="20"/>
      <c r="J503" s="135"/>
      <c r="K503" s="138"/>
      <c r="L503" s="135"/>
      <c r="M503" s="136"/>
    </row>
    <row r="504" spans="1:13" s="4" customFormat="1" ht="35.1" customHeight="1" x14ac:dyDescent="0.3">
      <c r="A504" s="13">
        <v>18</v>
      </c>
      <c r="B504" s="14" t="s">
        <v>12</v>
      </c>
      <c r="C504" s="15" t="s">
        <v>45</v>
      </c>
      <c r="D504" s="16" t="s">
        <v>46</v>
      </c>
      <c r="E504" s="17">
        <f>E505</f>
        <v>53.572526634999996</v>
      </c>
      <c r="F504" s="18" t="s">
        <v>17</v>
      </c>
      <c r="G504" s="19"/>
      <c r="H504" s="20">
        <f t="shared" ref="H504" si="30">E504*G504</f>
        <v>0</v>
      </c>
      <c r="J504" s="133">
        <v>0</v>
      </c>
      <c r="K504" s="138">
        <f t="shared" si="26"/>
        <v>0</v>
      </c>
      <c r="L504" s="133">
        <v>0</v>
      </c>
      <c r="M504" s="139" t="e">
        <f>L504*#REF!</f>
        <v>#REF!</v>
      </c>
    </row>
    <row r="505" spans="1:13" s="29" customFormat="1" ht="35.1" customHeight="1" x14ac:dyDescent="0.3">
      <c r="A505" s="21"/>
      <c r="B505" s="22"/>
      <c r="C505" s="23" t="s">
        <v>0</v>
      </c>
      <c r="D505" s="24" t="s">
        <v>709</v>
      </c>
      <c r="E505" s="25">
        <f>E374*0.25</f>
        <v>53.572526634999996</v>
      </c>
      <c r="F505" s="26" t="s">
        <v>17</v>
      </c>
      <c r="G505" s="27"/>
      <c r="H505" s="20"/>
      <c r="J505" s="134"/>
      <c r="K505" s="138"/>
      <c r="L505" s="134"/>
      <c r="M505" s="142"/>
    </row>
    <row r="506" spans="1:13" s="29" customFormat="1" ht="35.1" customHeight="1" x14ac:dyDescent="0.3">
      <c r="A506" s="21"/>
      <c r="B506" s="22"/>
      <c r="C506" s="23"/>
      <c r="D506" s="24"/>
      <c r="E506" s="25"/>
      <c r="F506" s="26"/>
      <c r="G506" s="27"/>
      <c r="H506" s="20"/>
      <c r="J506" s="134"/>
      <c r="K506" s="138"/>
      <c r="L506" s="134"/>
      <c r="M506" s="142"/>
    </row>
    <row r="507" spans="1:13" s="4" customFormat="1" ht="35.1" customHeight="1" x14ac:dyDescent="0.3">
      <c r="A507" s="36">
        <v>19</v>
      </c>
      <c r="B507" s="37" t="s">
        <v>47</v>
      </c>
      <c r="C507" s="38" t="s">
        <v>48</v>
      </c>
      <c r="D507" s="39" t="s">
        <v>49</v>
      </c>
      <c r="E507" s="40">
        <f>E374*1.9</f>
        <v>407.15120242599994</v>
      </c>
      <c r="F507" s="41" t="s">
        <v>42</v>
      </c>
      <c r="G507" s="42"/>
      <c r="H507" s="20">
        <f t="shared" ref="H507" si="31">E507*G507</f>
        <v>0</v>
      </c>
      <c r="J507" s="133">
        <v>1</v>
      </c>
      <c r="K507" s="138">
        <f t="shared" si="26"/>
        <v>407.15120242599994</v>
      </c>
      <c r="L507" s="133">
        <v>0</v>
      </c>
      <c r="M507" s="139" t="e">
        <f>L507*#REF!</f>
        <v>#REF!</v>
      </c>
    </row>
    <row r="508" spans="1:13" s="29" customFormat="1" ht="35.1" customHeight="1" x14ac:dyDescent="0.3">
      <c r="A508" s="21"/>
      <c r="B508" s="22"/>
      <c r="C508" s="23"/>
      <c r="D508" s="24" t="s">
        <v>710</v>
      </c>
      <c r="E508" s="25">
        <f>E374*1.9</f>
        <v>407.15120242599994</v>
      </c>
      <c r="F508" s="26" t="s">
        <v>42</v>
      </c>
      <c r="G508" s="27"/>
      <c r="H508" s="20"/>
      <c r="J508" s="134"/>
      <c r="K508" s="138"/>
      <c r="L508" s="134"/>
      <c r="M508" s="142"/>
    </row>
    <row r="509" spans="1:13" s="29" customFormat="1" ht="35.1" customHeight="1" x14ac:dyDescent="0.3">
      <c r="A509" s="21"/>
      <c r="B509" s="22"/>
      <c r="C509" s="23"/>
      <c r="D509" s="24"/>
      <c r="E509" s="25"/>
      <c r="F509" s="26"/>
      <c r="G509" s="27"/>
      <c r="H509" s="20"/>
      <c r="J509" s="134"/>
      <c r="K509" s="138"/>
      <c r="L509" s="134"/>
      <c r="M509" s="142"/>
    </row>
    <row r="510" spans="1:13" s="4" customFormat="1" ht="35.1" customHeight="1" x14ac:dyDescent="0.3">
      <c r="A510" s="13">
        <v>20</v>
      </c>
      <c r="B510" s="14" t="s">
        <v>12</v>
      </c>
      <c r="C510" s="15" t="s">
        <v>50</v>
      </c>
      <c r="D510" s="16" t="s">
        <v>51</v>
      </c>
      <c r="E510" s="17">
        <f>E516</f>
        <v>262.60989345999997</v>
      </c>
      <c r="F510" s="18" t="s">
        <v>17</v>
      </c>
      <c r="G510" s="19"/>
      <c r="H510" s="20">
        <f t="shared" ref="H510" si="32">E510*G510</f>
        <v>0</v>
      </c>
      <c r="J510" s="133">
        <v>0</v>
      </c>
      <c r="K510" s="138">
        <f t="shared" si="26"/>
        <v>0</v>
      </c>
      <c r="L510" s="133">
        <v>0</v>
      </c>
      <c r="M510" s="139" t="e">
        <f>L510*#REF!</f>
        <v>#REF!</v>
      </c>
    </row>
    <row r="511" spans="1:13" s="29" customFormat="1" ht="35.1" customHeight="1" x14ac:dyDescent="0.3">
      <c r="A511" s="21"/>
      <c r="B511" s="22"/>
      <c r="C511" s="23"/>
      <c r="D511" s="24"/>
      <c r="E511" s="25"/>
      <c r="F511" s="26"/>
      <c r="G511" s="27"/>
      <c r="H511" s="20"/>
      <c r="J511" s="134"/>
      <c r="K511" s="138"/>
      <c r="L511" s="134"/>
      <c r="M511" s="142"/>
    </row>
    <row r="512" spans="1:13" s="29" customFormat="1" ht="35.1" customHeight="1" x14ac:dyDescent="0.3">
      <c r="A512" s="21"/>
      <c r="B512" s="22"/>
      <c r="C512" s="23"/>
      <c r="D512" s="24" t="s">
        <v>202</v>
      </c>
      <c r="E512" s="25">
        <f>E97+E220</f>
        <v>575.44999999999993</v>
      </c>
      <c r="F512" s="26" t="s">
        <v>17</v>
      </c>
      <c r="G512" s="27"/>
      <c r="H512" s="20"/>
      <c r="J512" s="134"/>
      <c r="K512" s="138"/>
      <c r="L512" s="134"/>
      <c r="M512" s="142"/>
    </row>
    <row r="513" spans="1:13" s="29" customFormat="1" ht="35.1" customHeight="1" x14ac:dyDescent="0.3">
      <c r="A513" s="21"/>
      <c r="B513" s="22"/>
      <c r="C513" s="23"/>
      <c r="D513" s="24" t="s">
        <v>203</v>
      </c>
      <c r="E513" s="25">
        <f>E232</f>
        <v>0.85</v>
      </c>
      <c r="F513" s="26" t="s">
        <v>17</v>
      </c>
      <c r="G513" s="27"/>
      <c r="H513" s="20"/>
      <c r="J513" s="134"/>
      <c r="K513" s="138"/>
      <c r="L513" s="134"/>
      <c r="M513" s="142"/>
    </row>
    <row r="514" spans="1:13" s="29" customFormat="1" ht="35.1" customHeight="1" x14ac:dyDescent="0.3">
      <c r="A514" s="21"/>
      <c r="B514" s="22"/>
      <c r="C514" s="23"/>
      <c r="D514" s="24" t="s">
        <v>160</v>
      </c>
      <c r="E514" s="25">
        <f>-E526</f>
        <v>-99.4</v>
      </c>
      <c r="F514" s="26" t="s">
        <v>17</v>
      </c>
      <c r="G514" s="27"/>
      <c r="H514" s="20"/>
      <c r="J514" s="134"/>
      <c r="K514" s="138"/>
      <c r="L514" s="134"/>
      <c r="M514" s="142"/>
    </row>
    <row r="515" spans="1:13" s="29" customFormat="1" ht="35.1" customHeight="1" x14ac:dyDescent="0.3">
      <c r="A515" s="21"/>
      <c r="B515" s="22"/>
      <c r="C515" s="23"/>
      <c r="D515" s="24" t="s">
        <v>161</v>
      </c>
      <c r="E515" s="25">
        <f>-E374</f>
        <v>-214.29010653999998</v>
      </c>
      <c r="F515" s="26" t="s">
        <v>17</v>
      </c>
      <c r="G515" s="27"/>
      <c r="H515" s="20"/>
      <c r="J515" s="134"/>
      <c r="K515" s="138"/>
      <c r="L515" s="134"/>
      <c r="M515" s="142"/>
    </row>
    <row r="516" spans="1:13" s="29" customFormat="1" ht="35.1" customHeight="1" x14ac:dyDescent="0.3">
      <c r="A516" s="21"/>
      <c r="B516" s="22"/>
      <c r="C516" s="23"/>
      <c r="D516" s="243" t="s">
        <v>18</v>
      </c>
      <c r="E516" s="244">
        <f>SUM(E512:E515)</f>
        <v>262.60989345999997</v>
      </c>
      <c r="F516" s="245" t="s">
        <v>17</v>
      </c>
      <c r="G516" s="105"/>
      <c r="H516" s="20"/>
      <c r="J516" s="134"/>
      <c r="K516" s="138"/>
      <c r="L516" s="134"/>
      <c r="M516" s="142"/>
    </row>
    <row r="517" spans="1:13" s="29" customFormat="1" ht="35.1" customHeight="1" x14ac:dyDescent="0.3">
      <c r="A517" s="21"/>
      <c r="B517" s="22"/>
      <c r="C517" s="23"/>
      <c r="D517" s="24"/>
      <c r="E517" s="25"/>
      <c r="F517" s="26"/>
      <c r="G517" s="27"/>
      <c r="H517" s="20"/>
      <c r="J517" s="134"/>
      <c r="K517" s="138"/>
      <c r="L517" s="134"/>
      <c r="M517" s="142"/>
    </row>
    <row r="518" spans="1:13" s="4" customFormat="1" ht="35.1" customHeight="1" x14ac:dyDescent="0.3">
      <c r="A518" s="36">
        <v>21</v>
      </c>
      <c r="B518" s="37" t="s">
        <v>47</v>
      </c>
      <c r="C518" s="166" t="s">
        <v>898</v>
      </c>
      <c r="D518" s="167" t="s">
        <v>896</v>
      </c>
      <c r="E518" s="40">
        <f>E520</f>
        <v>498.9587975739999</v>
      </c>
      <c r="F518" s="41" t="s">
        <v>42</v>
      </c>
      <c r="G518" s="42"/>
      <c r="H518" s="43">
        <f t="shared" ref="H518" si="33">E518*G518</f>
        <v>0</v>
      </c>
      <c r="J518" s="133">
        <v>1</v>
      </c>
      <c r="K518" s="138">
        <f t="shared" ref="K518:K655" si="34">E518*J518</f>
        <v>498.9587975739999</v>
      </c>
      <c r="L518" s="133">
        <v>0</v>
      </c>
      <c r="M518" s="139" t="e">
        <f>L518*#REF!</f>
        <v>#REF!</v>
      </c>
    </row>
    <row r="519" spans="1:13" s="29" customFormat="1" ht="35.1" customHeight="1" x14ac:dyDescent="0.3">
      <c r="A519" s="21"/>
      <c r="B519" s="22"/>
      <c r="C519" s="23"/>
      <c r="D519" s="24" t="s">
        <v>285</v>
      </c>
      <c r="E519" s="25">
        <f>E510</f>
        <v>262.60989345999997</v>
      </c>
      <c r="F519" s="26" t="s">
        <v>17</v>
      </c>
      <c r="G519" s="27"/>
      <c r="H519" s="20"/>
      <c r="J519" s="134"/>
      <c r="K519" s="138"/>
      <c r="L519" s="134"/>
      <c r="M519" s="142"/>
    </row>
    <row r="520" spans="1:13" s="29" customFormat="1" ht="35.1" customHeight="1" x14ac:dyDescent="0.3">
      <c r="A520" s="21"/>
      <c r="B520" s="22"/>
      <c r="C520" s="23"/>
      <c r="D520" s="243" t="s">
        <v>801</v>
      </c>
      <c r="E520" s="244">
        <f>E519*1.9</f>
        <v>498.9587975739999</v>
      </c>
      <c r="F520" s="245" t="s">
        <v>42</v>
      </c>
      <c r="G520" s="27"/>
      <c r="H520" s="20"/>
      <c r="J520" s="134"/>
      <c r="K520" s="138"/>
      <c r="L520" s="134"/>
      <c r="M520" s="142"/>
    </row>
    <row r="521" spans="1:13" s="29" customFormat="1" ht="35.1" customHeight="1" x14ac:dyDescent="0.3">
      <c r="A521" s="21"/>
      <c r="B521" s="22"/>
      <c r="C521" s="23"/>
      <c r="D521" s="95"/>
      <c r="E521" s="96"/>
      <c r="F521" s="97"/>
      <c r="G521" s="27"/>
      <c r="H521" s="20"/>
      <c r="J521" s="134"/>
      <c r="K521" s="138"/>
      <c r="L521" s="134"/>
      <c r="M521" s="142"/>
    </row>
    <row r="522" spans="1:13" s="4" customFormat="1" ht="35.1" customHeight="1" x14ac:dyDescent="0.3">
      <c r="A522" s="13">
        <v>22</v>
      </c>
      <c r="B522" s="14" t="s">
        <v>12</v>
      </c>
      <c r="C522" s="15" t="s">
        <v>52</v>
      </c>
      <c r="D522" s="16" t="s">
        <v>53</v>
      </c>
      <c r="E522" s="17">
        <f>E9</f>
        <v>478.5</v>
      </c>
      <c r="F522" s="18" t="s">
        <v>13</v>
      </c>
      <c r="G522" s="19"/>
      <c r="H522" s="20">
        <f>E522*G522</f>
        <v>0</v>
      </c>
      <c r="J522" s="133">
        <v>0</v>
      </c>
      <c r="K522" s="138">
        <f t="shared" si="34"/>
        <v>0</v>
      </c>
      <c r="L522" s="133">
        <v>0</v>
      </c>
      <c r="M522" s="139" t="e">
        <f>L522*#REF!</f>
        <v>#REF!</v>
      </c>
    </row>
    <row r="523" spans="1:13" s="71" customFormat="1" ht="35.1" customHeight="1" x14ac:dyDescent="0.2">
      <c r="A523" s="66"/>
      <c r="B523" s="67" t="s">
        <v>3</v>
      </c>
      <c r="C523" s="67" t="s">
        <v>4</v>
      </c>
      <c r="D523" s="67" t="s">
        <v>153</v>
      </c>
      <c r="E523" s="68"/>
      <c r="F523" s="67"/>
      <c r="G523" s="69"/>
      <c r="H523" s="70">
        <f>SUM(H9:H522)</f>
        <v>0</v>
      </c>
      <c r="J523" s="130"/>
      <c r="K523" s="138"/>
      <c r="L523" s="130"/>
      <c r="M523" s="132"/>
    </row>
    <row r="524" spans="1:13" s="71" customFormat="1" ht="35.1" customHeight="1" x14ac:dyDescent="0.2">
      <c r="A524" s="66"/>
      <c r="B524" s="67"/>
      <c r="C524" s="67"/>
      <c r="D524" s="67"/>
      <c r="E524" s="68"/>
      <c r="F524" s="67"/>
      <c r="G524" s="69"/>
      <c r="H524" s="70"/>
      <c r="J524" s="130"/>
      <c r="K524" s="138"/>
      <c r="L524" s="130"/>
      <c r="M524" s="132"/>
    </row>
    <row r="525" spans="1:13" s="71" customFormat="1" ht="35.1" customHeight="1" x14ac:dyDescent="0.2">
      <c r="A525" s="66"/>
      <c r="B525" s="67" t="s">
        <v>3</v>
      </c>
      <c r="C525" s="67" t="s">
        <v>14</v>
      </c>
      <c r="D525" s="67" t="s">
        <v>54</v>
      </c>
      <c r="E525" s="68"/>
      <c r="F525" s="67"/>
      <c r="G525" s="69"/>
      <c r="H525" s="70"/>
      <c r="J525" s="130"/>
      <c r="K525" s="138"/>
      <c r="L525" s="130"/>
      <c r="M525" s="132"/>
    </row>
    <row r="526" spans="1:13" s="4" customFormat="1" ht="35.1" customHeight="1" x14ac:dyDescent="0.3">
      <c r="A526" s="13">
        <v>23</v>
      </c>
      <c r="B526" s="14" t="s">
        <v>12</v>
      </c>
      <c r="C526" s="15" t="s">
        <v>55</v>
      </c>
      <c r="D526" s="16" t="s">
        <v>56</v>
      </c>
      <c r="E526" s="17">
        <f>E647</f>
        <v>99.4</v>
      </c>
      <c r="F526" s="18" t="s">
        <v>17</v>
      </c>
      <c r="G526" s="19"/>
      <c r="H526" s="20">
        <f>E526*G526</f>
        <v>0</v>
      </c>
      <c r="J526" s="133">
        <v>1.8907700000000001</v>
      </c>
      <c r="K526" s="138">
        <f t="shared" si="34"/>
        <v>187.94253800000001</v>
      </c>
      <c r="L526" s="133">
        <v>0</v>
      </c>
      <c r="M526" s="139" t="e">
        <f>L526*#REF!</f>
        <v>#REF!</v>
      </c>
    </row>
    <row r="527" spans="1:13" s="4" customFormat="1" ht="35.1" customHeight="1" x14ac:dyDescent="0.3">
      <c r="A527" s="170"/>
      <c r="B527" s="171"/>
      <c r="C527" s="172"/>
      <c r="D527" s="16" t="s">
        <v>206</v>
      </c>
      <c r="E527" s="17"/>
      <c r="F527" s="18"/>
      <c r="G527" s="175"/>
      <c r="H527" s="176"/>
      <c r="J527" s="133"/>
      <c r="K527" s="138"/>
      <c r="L527" s="133"/>
      <c r="M527" s="139"/>
    </row>
    <row r="528" spans="1:13" s="4" customFormat="1" ht="35.1" customHeight="1" x14ac:dyDescent="0.3">
      <c r="A528" s="170"/>
      <c r="B528" s="171"/>
      <c r="C528" s="172"/>
      <c r="D528" s="16" t="s">
        <v>713</v>
      </c>
      <c r="E528" s="65">
        <f>(0.1+0.1)*1.1*(116-6)</f>
        <v>24.200000000000003</v>
      </c>
      <c r="F528" s="74" t="s">
        <v>17</v>
      </c>
      <c r="G528" s="175"/>
      <c r="H528" s="176"/>
      <c r="J528" s="133"/>
      <c r="K528" s="138"/>
      <c r="L528" s="133"/>
      <c r="M528" s="139"/>
    </row>
    <row r="529" spans="1:13" s="4" customFormat="1" ht="35.1" customHeight="1" x14ac:dyDescent="0.3">
      <c r="A529" s="170"/>
      <c r="B529" s="171"/>
      <c r="C529" s="172"/>
      <c r="D529" s="246" t="s">
        <v>359</v>
      </c>
      <c r="E529" s="247">
        <f>SUM(E528)</f>
        <v>24.200000000000003</v>
      </c>
      <c r="F529" s="248" t="s">
        <v>17</v>
      </c>
      <c r="G529" s="175"/>
      <c r="H529" s="176"/>
      <c r="J529" s="133"/>
      <c r="K529" s="138"/>
      <c r="L529" s="133"/>
      <c r="M529" s="139"/>
    </row>
    <row r="530" spans="1:13" s="4" customFormat="1" ht="35.1" customHeight="1" x14ac:dyDescent="0.3">
      <c r="A530" s="170"/>
      <c r="B530" s="171"/>
      <c r="C530" s="172"/>
      <c r="D530" s="239"/>
      <c r="E530" s="240"/>
      <c r="F530" s="241"/>
      <c r="G530" s="175"/>
      <c r="H530" s="176"/>
      <c r="J530" s="133"/>
      <c r="K530" s="138"/>
      <c r="L530" s="133"/>
      <c r="M530" s="139"/>
    </row>
    <row r="531" spans="1:13" s="4" customFormat="1" ht="35.1" customHeight="1" x14ac:dyDescent="0.3">
      <c r="A531" s="170"/>
      <c r="B531" s="171"/>
      <c r="C531" s="172"/>
      <c r="D531" s="16" t="s">
        <v>657</v>
      </c>
      <c r="E531" s="65"/>
      <c r="F531" s="74"/>
      <c r="G531" s="175"/>
      <c r="H531" s="176"/>
      <c r="J531" s="133"/>
      <c r="K531" s="138"/>
      <c r="L531" s="133"/>
      <c r="M531" s="139"/>
    </row>
    <row r="532" spans="1:13" s="4" customFormat="1" ht="35.1" customHeight="1" x14ac:dyDescent="0.3">
      <c r="A532" s="170"/>
      <c r="B532" s="171"/>
      <c r="C532" s="172"/>
      <c r="D532" s="16" t="s">
        <v>357</v>
      </c>
      <c r="E532" s="65"/>
      <c r="F532" s="74"/>
      <c r="G532" s="175"/>
      <c r="H532" s="176"/>
      <c r="J532" s="133"/>
      <c r="K532" s="138"/>
      <c r="L532" s="133"/>
      <c r="M532" s="139"/>
    </row>
    <row r="533" spans="1:13" s="4" customFormat="1" ht="35.1" customHeight="1" x14ac:dyDescent="0.3">
      <c r="A533" s="170"/>
      <c r="B533" s="171"/>
      <c r="C533" s="172"/>
      <c r="D533" s="16" t="s">
        <v>714</v>
      </c>
      <c r="E533" s="65">
        <f>(0.1+0.1)*1*2.5</f>
        <v>0.5</v>
      </c>
      <c r="F533" s="74" t="s">
        <v>17</v>
      </c>
      <c r="G533" s="175"/>
      <c r="H533" s="176"/>
      <c r="J533" s="133"/>
      <c r="K533" s="138"/>
      <c r="L533" s="133"/>
      <c r="M533" s="139"/>
    </row>
    <row r="534" spans="1:13" s="4" customFormat="1" ht="35.1" customHeight="1" x14ac:dyDescent="0.3">
      <c r="A534" s="170"/>
      <c r="B534" s="171"/>
      <c r="C534" s="172"/>
      <c r="D534" s="16" t="s">
        <v>715</v>
      </c>
      <c r="E534" s="65">
        <f t="shared" ref="E534:E556" si="35">(0.1+0.1)*1*2.5</f>
        <v>0.5</v>
      </c>
      <c r="F534" s="74" t="s">
        <v>17</v>
      </c>
      <c r="G534" s="175"/>
      <c r="H534" s="176"/>
      <c r="J534" s="133"/>
      <c r="K534" s="138"/>
      <c r="L534" s="133"/>
      <c r="M534" s="139"/>
    </row>
    <row r="535" spans="1:13" s="4" customFormat="1" ht="35.1" customHeight="1" x14ac:dyDescent="0.3">
      <c r="A535" s="170"/>
      <c r="B535" s="171"/>
      <c r="C535" s="172"/>
      <c r="D535" s="16" t="s">
        <v>716</v>
      </c>
      <c r="E535" s="65">
        <f t="shared" si="35"/>
        <v>0.5</v>
      </c>
      <c r="F535" s="74" t="s">
        <v>17</v>
      </c>
      <c r="G535" s="175"/>
      <c r="H535" s="176"/>
      <c r="J535" s="133"/>
      <c r="K535" s="138"/>
      <c r="L535" s="133"/>
      <c r="M535" s="139"/>
    </row>
    <row r="536" spans="1:13" s="4" customFormat="1" ht="35.1" customHeight="1" x14ac:dyDescent="0.3">
      <c r="A536" s="170"/>
      <c r="B536" s="171"/>
      <c r="C536" s="172"/>
      <c r="D536" s="16" t="s">
        <v>717</v>
      </c>
      <c r="E536" s="65">
        <f t="shared" si="35"/>
        <v>0.5</v>
      </c>
      <c r="F536" s="74" t="s">
        <v>17</v>
      </c>
      <c r="G536" s="175"/>
      <c r="H536" s="176"/>
      <c r="J536" s="133"/>
      <c r="K536" s="138"/>
      <c r="L536" s="133"/>
      <c r="M536" s="139"/>
    </row>
    <row r="537" spans="1:13" s="4" customFormat="1" ht="35.1" customHeight="1" x14ac:dyDescent="0.3">
      <c r="A537" s="170"/>
      <c r="B537" s="171"/>
      <c r="C537" s="172"/>
      <c r="D537" s="16" t="s">
        <v>718</v>
      </c>
      <c r="E537" s="65">
        <f t="shared" si="35"/>
        <v>0.5</v>
      </c>
      <c r="F537" s="74" t="s">
        <v>17</v>
      </c>
      <c r="G537" s="175"/>
      <c r="H537" s="176"/>
      <c r="J537" s="133"/>
      <c r="K537" s="138"/>
      <c r="L537" s="133"/>
      <c r="M537" s="139"/>
    </row>
    <row r="538" spans="1:13" s="4" customFormat="1" ht="35.1" customHeight="1" x14ac:dyDescent="0.3">
      <c r="A538" s="170"/>
      <c r="B538" s="171"/>
      <c r="C538" s="172"/>
      <c r="D538" s="16" t="s">
        <v>719</v>
      </c>
      <c r="E538" s="65">
        <f>(0.1+0.1)*1*(3.5+1)</f>
        <v>0.9</v>
      </c>
      <c r="F538" s="74" t="s">
        <v>17</v>
      </c>
      <c r="G538" s="175"/>
      <c r="H538" s="176"/>
      <c r="J538" s="133"/>
      <c r="K538" s="138"/>
      <c r="L538" s="133"/>
      <c r="M538" s="139"/>
    </row>
    <row r="539" spans="1:13" s="4" customFormat="1" ht="35.1" customHeight="1" x14ac:dyDescent="0.3">
      <c r="A539" s="170"/>
      <c r="B539" s="171"/>
      <c r="C539" s="172"/>
      <c r="D539" s="16" t="s">
        <v>720</v>
      </c>
      <c r="E539" s="65">
        <f t="shared" si="35"/>
        <v>0.5</v>
      </c>
      <c r="F539" s="74" t="s">
        <v>17</v>
      </c>
      <c r="G539" s="175"/>
      <c r="H539" s="176"/>
      <c r="J539" s="133"/>
      <c r="K539" s="138"/>
      <c r="L539" s="133"/>
      <c r="M539" s="139"/>
    </row>
    <row r="540" spans="1:13" s="4" customFormat="1" ht="35.1" customHeight="1" x14ac:dyDescent="0.3">
      <c r="A540" s="170"/>
      <c r="B540" s="171"/>
      <c r="C540" s="172"/>
      <c r="D540" s="16" t="s">
        <v>721</v>
      </c>
      <c r="E540" s="65">
        <f>(0.1+0.1)*1*(3.5+1)</f>
        <v>0.9</v>
      </c>
      <c r="F540" s="74" t="s">
        <v>17</v>
      </c>
      <c r="G540" s="175"/>
      <c r="H540" s="176"/>
      <c r="J540" s="133"/>
      <c r="K540" s="138"/>
      <c r="L540" s="133"/>
      <c r="M540" s="139"/>
    </row>
    <row r="541" spans="1:13" s="4" customFormat="1" ht="35.1" customHeight="1" x14ac:dyDescent="0.3">
      <c r="A541" s="170"/>
      <c r="B541" s="171"/>
      <c r="C541" s="172"/>
      <c r="D541" s="16" t="s">
        <v>722</v>
      </c>
      <c r="E541" s="65">
        <f t="shared" si="35"/>
        <v>0.5</v>
      </c>
      <c r="F541" s="74" t="s">
        <v>17</v>
      </c>
      <c r="G541" s="175"/>
      <c r="H541" s="176"/>
      <c r="J541" s="133"/>
      <c r="K541" s="138"/>
      <c r="L541" s="133"/>
      <c r="M541" s="139"/>
    </row>
    <row r="542" spans="1:13" s="4" customFormat="1" ht="35.1" customHeight="1" x14ac:dyDescent="0.3">
      <c r="A542" s="170"/>
      <c r="B542" s="171"/>
      <c r="C542" s="172"/>
      <c r="D542" s="16" t="s">
        <v>723</v>
      </c>
      <c r="E542" s="65">
        <f t="shared" si="35"/>
        <v>0.5</v>
      </c>
      <c r="F542" s="74" t="s">
        <v>17</v>
      </c>
      <c r="G542" s="175"/>
      <c r="H542" s="176"/>
      <c r="J542" s="133"/>
      <c r="K542" s="138"/>
      <c r="L542" s="133"/>
      <c r="M542" s="139"/>
    </row>
    <row r="543" spans="1:13" s="4" customFormat="1" ht="35.1" customHeight="1" x14ac:dyDescent="0.3">
      <c r="A543" s="170"/>
      <c r="B543" s="171"/>
      <c r="C543" s="172"/>
      <c r="D543" s="16" t="s">
        <v>724</v>
      </c>
      <c r="E543" s="65">
        <f t="shared" si="35"/>
        <v>0.5</v>
      </c>
      <c r="F543" s="74" t="s">
        <v>17</v>
      </c>
      <c r="G543" s="175"/>
      <c r="H543" s="176"/>
      <c r="J543" s="133"/>
      <c r="K543" s="138"/>
      <c r="L543" s="133"/>
      <c r="M543" s="139"/>
    </row>
    <row r="544" spans="1:13" s="4" customFormat="1" ht="35.1" customHeight="1" x14ac:dyDescent="0.3">
      <c r="A544" s="170"/>
      <c r="B544" s="171"/>
      <c r="C544" s="172"/>
      <c r="D544" s="16" t="s">
        <v>725</v>
      </c>
      <c r="E544" s="65">
        <f>(0.1+0.1)*1*3.5</f>
        <v>0.70000000000000007</v>
      </c>
      <c r="F544" s="74" t="s">
        <v>17</v>
      </c>
      <c r="G544" s="175"/>
      <c r="H544" s="176"/>
      <c r="J544" s="133"/>
      <c r="K544" s="138"/>
      <c r="L544" s="133"/>
      <c r="M544" s="139"/>
    </row>
    <row r="545" spans="1:13" s="4" customFormat="1" ht="35.1" customHeight="1" x14ac:dyDescent="0.3">
      <c r="A545" s="170"/>
      <c r="B545" s="171"/>
      <c r="C545" s="172"/>
      <c r="D545" s="16" t="s">
        <v>726</v>
      </c>
      <c r="E545" s="65">
        <f t="shared" si="35"/>
        <v>0.5</v>
      </c>
      <c r="F545" s="74" t="s">
        <v>17</v>
      </c>
      <c r="G545" s="175"/>
      <c r="H545" s="176"/>
      <c r="J545" s="133"/>
      <c r="K545" s="138"/>
      <c r="L545" s="133"/>
      <c r="M545" s="139"/>
    </row>
    <row r="546" spans="1:13" s="4" customFormat="1" ht="35.1" customHeight="1" x14ac:dyDescent="0.3">
      <c r="A546" s="170"/>
      <c r="B546" s="171"/>
      <c r="C546" s="172"/>
      <c r="D546" s="16" t="s">
        <v>727</v>
      </c>
      <c r="E546" s="65">
        <f>(0.1+0.1)*1*(3.5+1)</f>
        <v>0.9</v>
      </c>
      <c r="F546" s="74" t="s">
        <v>17</v>
      </c>
      <c r="G546" s="175"/>
      <c r="H546" s="176"/>
      <c r="J546" s="133"/>
      <c r="K546" s="138"/>
      <c r="L546" s="133"/>
      <c r="M546" s="139"/>
    </row>
    <row r="547" spans="1:13" s="4" customFormat="1" ht="35.1" customHeight="1" x14ac:dyDescent="0.3">
      <c r="A547" s="170"/>
      <c r="B547" s="171"/>
      <c r="C547" s="172"/>
      <c r="D547" s="16" t="s">
        <v>728</v>
      </c>
      <c r="E547" s="65">
        <f t="shared" si="35"/>
        <v>0.5</v>
      </c>
      <c r="F547" s="74" t="s">
        <v>17</v>
      </c>
      <c r="G547" s="175"/>
      <c r="H547" s="176"/>
      <c r="J547" s="133"/>
      <c r="K547" s="138"/>
      <c r="L547" s="133"/>
      <c r="M547" s="139"/>
    </row>
    <row r="548" spans="1:13" s="4" customFormat="1" ht="35.1" customHeight="1" x14ac:dyDescent="0.3">
      <c r="A548" s="170"/>
      <c r="B548" s="171"/>
      <c r="C548" s="172"/>
      <c r="D548" s="16" t="s">
        <v>729</v>
      </c>
      <c r="E548" s="65">
        <f t="shared" si="35"/>
        <v>0.5</v>
      </c>
      <c r="F548" s="74" t="s">
        <v>17</v>
      </c>
      <c r="G548" s="175"/>
      <c r="H548" s="176"/>
      <c r="J548" s="133"/>
      <c r="K548" s="138"/>
      <c r="L548" s="133"/>
      <c r="M548" s="139"/>
    </row>
    <row r="549" spans="1:13" s="4" customFormat="1" ht="35.1" customHeight="1" x14ac:dyDescent="0.3">
      <c r="A549" s="170"/>
      <c r="B549" s="171"/>
      <c r="C549" s="172"/>
      <c r="D549" s="16" t="s">
        <v>730</v>
      </c>
      <c r="E549" s="65">
        <f t="shared" si="35"/>
        <v>0.5</v>
      </c>
      <c r="F549" s="74" t="s">
        <v>17</v>
      </c>
      <c r="G549" s="175"/>
      <c r="H549" s="176"/>
      <c r="J549" s="133"/>
      <c r="K549" s="138"/>
      <c r="L549" s="133"/>
      <c r="M549" s="139"/>
    </row>
    <row r="550" spans="1:13" s="4" customFormat="1" ht="35.1" customHeight="1" x14ac:dyDescent="0.3">
      <c r="A550" s="170"/>
      <c r="B550" s="171"/>
      <c r="C550" s="172"/>
      <c r="D550" s="16" t="s">
        <v>731</v>
      </c>
      <c r="E550" s="65">
        <f>(0.1+0.1)*1*(3.5+1)</f>
        <v>0.9</v>
      </c>
      <c r="F550" s="74" t="s">
        <v>17</v>
      </c>
      <c r="G550" s="175"/>
      <c r="H550" s="176"/>
      <c r="J550" s="133"/>
      <c r="K550" s="138"/>
      <c r="L550" s="133"/>
      <c r="M550" s="139"/>
    </row>
    <row r="551" spans="1:13" s="4" customFormat="1" ht="35.1" customHeight="1" x14ac:dyDescent="0.3">
      <c r="A551" s="170"/>
      <c r="B551" s="171"/>
      <c r="C551" s="172"/>
      <c r="D551" s="16" t="s">
        <v>732</v>
      </c>
      <c r="E551" s="65">
        <f t="shared" si="35"/>
        <v>0.5</v>
      </c>
      <c r="F551" s="74" t="s">
        <v>17</v>
      </c>
      <c r="G551" s="175"/>
      <c r="H551" s="176"/>
      <c r="J551" s="133"/>
      <c r="K551" s="138"/>
      <c r="L551" s="133"/>
      <c r="M551" s="139"/>
    </row>
    <row r="552" spans="1:13" s="4" customFormat="1" ht="35.1" customHeight="1" x14ac:dyDescent="0.3">
      <c r="A552" s="170"/>
      <c r="B552" s="171"/>
      <c r="C552" s="172"/>
      <c r="D552" s="16" t="s">
        <v>733</v>
      </c>
      <c r="E552" s="65">
        <f>(0.1+0.1)*1*(3.5+1)</f>
        <v>0.9</v>
      </c>
      <c r="F552" s="74" t="s">
        <v>17</v>
      </c>
      <c r="G552" s="175"/>
      <c r="H552" s="176"/>
      <c r="J552" s="133"/>
      <c r="K552" s="138"/>
      <c r="L552" s="133"/>
      <c r="M552" s="139"/>
    </row>
    <row r="553" spans="1:13" s="4" customFormat="1" ht="35.1" customHeight="1" x14ac:dyDescent="0.3">
      <c r="A553" s="170"/>
      <c r="B553" s="171"/>
      <c r="C553" s="172"/>
      <c r="D553" s="16" t="s">
        <v>734</v>
      </c>
      <c r="E553" s="65">
        <f t="shared" si="35"/>
        <v>0.5</v>
      </c>
      <c r="F553" s="74" t="s">
        <v>17</v>
      </c>
      <c r="G553" s="175"/>
      <c r="H553" s="176"/>
      <c r="J553" s="133"/>
      <c r="K553" s="138"/>
      <c r="L553" s="133"/>
      <c r="M553" s="139"/>
    </row>
    <row r="554" spans="1:13" s="4" customFormat="1" ht="35.1" customHeight="1" x14ac:dyDescent="0.3">
      <c r="A554" s="170"/>
      <c r="B554" s="171"/>
      <c r="C554" s="172"/>
      <c r="D554" s="16" t="s">
        <v>735</v>
      </c>
      <c r="E554" s="65">
        <f>(0.1+0.1)*1*(3.5+1)</f>
        <v>0.9</v>
      </c>
      <c r="F554" s="74" t="s">
        <v>17</v>
      </c>
      <c r="G554" s="175"/>
      <c r="H554" s="176"/>
      <c r="J554" s="133"/>
      <c r="K554" s="138"/>
      <c r="L554" s="133"/>
      <c r="M554" s="139"/>
    </row>
    <row r="555" spans="1:13" s="4" customFormat="1" ht="35.1" customHeight="1" x14ac:dyDescent="0.3">
      <c r="A555" s="170"/>
      <c r="B555" s="171"/>
      <c r="C555" s="172"/>
      <c r="D555" s="16" t="s">
        <v>736</v>
      </c>
      <c r="E555" s="65">
        <f t="shared" si="35"/>
        <v>0.5</v>
      </c>
      <c r="F555" s="74" t="s">
        <v>17</v>
      </c>
      <c r="G555" s="175"/>
      <c r="H555" s="176"/>
      <c r="J555" s="133"/>
      <c r="K555" s="138"/>
      <c r="L555" s="133"/>
      <c r="M555" s="139"/>
    </row>
    <row r="556" spans="1:13" s="4" customFormat="1" ht="35.1" customHeight="1" x14ac:dyDescent="0.3">
      <c r="A556" s="170"/>
      <c r="B556" s="171"/>
      <c r="C556" s="172"/>
      <c r="D556" s="16" t="s">
        <v>737</v>
      </c>
      <c r="E556" s="65">
        <f t="shared" si="35"/>
        <v>0.5</v>
      </c>
      <c r="F556" s="74" t="s">
        <v>17</v>
      </c>
      <c r="G556" s="175"/>
      <c r="H556" s="176"/>
      <c r="J556" s="133"/>
      <c r="K556" s="138"/>
      <c r="L556" s="133"/>
      <c r="M556" s="139"/>
    </row>
    <row r="557" spans="1:13" s="4" customFormat="1" ht="35.1" customHeight="1" x14ac:dyDescent="0.3">
      <c r="A557" s="170"/>
      <c r="B557" s="171"/>
      <c r="C557" s="172"/>
      <c r="D557" s="243" t="s">
        <v>358</v>
      </c>
      <c r="E557" s="244">
        <f>SUM(E533:E556)</f>
        <v>14.600000000000001</v>
      </c>
      <c r="F557" s="245" t="s">
        <v>17</v>
      </c>
      <c r="G557" s="175"/>
      <c r="H557" s="176"/>
      <c r="J557" s="133"/>
      <c r="K557" s="138"/>
      <c r="L557" s="133"/>
      <c r="M557" s="139"/>
    </row>
    <row r="558" spans="1:13" s="4" customFormat="1" ht="35.1" customHeight="1" x14ac:dyDescent="0.3">
      <c r="A558" s="170"/>
      <c r="B558" s="171"/>
      <c r="C558" s="172"/>
      <c r="D558" s="24"/>
      <c r="E558" s="25"/>
      <c r="F558" s="26"/>
      <c r="G558" s="175"/>
      <c r="H558" s="176"/>
      <c r="J558" s="133"/>
      <c r="K558" s="138"/>
      <c r="L558" s="133"/>
      <c r="M558" s="139"/>
    </row>
    <row r="559" spans="1:13" s="4" customFormat="1" ht="35.1" customHeight="1" x14ac:dyDescent="0.3">
      <c r="A559" s="170"/>
      <c r="B559" s="171"/>
      <c r="C559" s="172"/>
      <c r="D559" s="16" t="s">
        <v>360</v>
      </c>
      <c r="E559" s="25"/>
      <c r="F559" s="26"/>
      <c r="G559" s="175"/>
      <c r="H559" s="176"/>
      <c r="J559" s="133"/>
      <c r="K559" s="138"/>
      <c r="L559" s="133"/>
      <c r="M559" s="139"/>
    </row>
    <row r="560" spans="1:13" s="4" customFormat="1" ht="35.1" customHeight="1" x14ac:dyDescent="0.3">
      <c r="A560" s="170"/>
      <c r="B560" s="171"/>
      <c r="C560" s="172"/>
      <c r="D560" s="16" t="s">
        <v>738</v>
      </c>
      <c r="E560" s="65">
        <f>(0.1+0.1)*1*3.5</f>
        <v>0.70000000000000007</v>
      </c>
      <c r="F560" s="74" t="s">
        <v>17</v>
      </c>
      <c r="G560" s="175"/>
      <c r="H560" s="176"/>
      <c r="J560" s="133"/>
      <c r="K560" s="138"/>
      <c r="L560" s="133"/>
      <c r="M560" s="139"/>
    </row>
    <row r="561" spans="1:13" s="4" customFormat="1" ht="35.1" customHeight="1" x14ac:dyDescent="0.3">
      <c r="A561" s="170"/>
      <c r="B561" s="171"/>
      <c r="C561" s="172"/>
      <c r="D561" s="16" t="s">
        <v>739</v>
      </c>
      <c r="E561" s="65">
        <f>(0.1+0.1)*1*2.5</f>
        <v>0.5</v>
      </c>
      <c r="F561" s="74" t="s">
        <v>17</v>
      </c>
      <c r="G561" s="175"/>
      <c r="H561" s="176"/>
      <c r="J561" s="133"/>
      <c r="K561" s="138"/>
      <c r="L561" s="133"/>
      <c r="M561" s="139"/>
    </row>
    <row r="562" spans="1:13" s="4" customFormat="1" ht="35.1" customHeight="1" x14ac:dyDescent="0.3">
      <c r="A562" s="170"/>
      <c r="B562" s="171"/>
      <c r="C562" s="172"/>
      <c r="D562" s="16" t="s">
        <v>740</v>
      </c>
      <c r="E562" s="65">
        <f t="shared" ref="E562" si="36">(0.1+0.1)*1*3.5</f>
        <v>0.70000000000000007</v>
      </c>
      <c r="F562" s="74" t="s">
        <v>17</v>
      </c>
      <c r="G562" s="175"/>
      <c r="H562" s="176"/>
      <c r="J562" s="133"/>
      <c r="K562" s="138"/>
      <c r="L562" s="133"/>
      <c r="M562" s="139"/>
    </row>
    <row r="563" spans="1:13" s="4" customFormat="1" ht="35.1" customHeight="1" x14ac:dyDescent="0.3">
      <c r="A563" s="170"/>
      <c r="B563" s="171"/>
      <c r="C563" s="172"/>
      <c r="D563" s="16" t="s">
        <v>741</v>
      </c>
      <c r="E563" s="65">
        <f>(0.1+0.1)*1*(3.5+1)</f>
        <v>0.9</v>
      </c>
      <c r="F563" s="74" t="s">
        <v>17</v>
      </c>
      <c r="G563" s="175"/>
      <c r="H563" s="176"/>
      <c r="J563" s="133"/>
      <c r="K563" s="138"/>
      <c r="L563" s="133"/>
      <c r="M563" s="139"/>
    </row>
    <row r="564" spans="1:13" s="4" customFormat="1" ht="35.1" customHeight="1" x14ac:dyDescent="0.3">
      <c r="A564" s="170"/>
      <c r="B564" s="171"/>
      <c r="C564" s="172"/>
      <c r="D564" s="16" t="s">
        <v>742</v>
      </c>
      <c r="E564" s="65">
        <f>(0.1+0.1)*1*3.5</f>
        <v>0.70000000000000007</v>
      </c>
      <c r="F564" s="74" t="s">
        <v>17</v>
      </c>
      <c r="G564" s="175"/>
      <c r="H564" s="176"/>
      <c r="J564" s="133"/>
      <c r="K564" s="138"/>
      <c r="L564" s="133"/>
      <c r="M564" s="139"/>
    </row>
    <row r="565" spans="1:13" s="4" customFormat="1" ht="35.1" customHeight="1" x14ac:dyDescent="0.3">
      <c r="A565" s="170"/>
      <c r="B565" s="171"/>
      <c r="C565" s="172"/>
      <c r="D565" s="16" t="s">
        <v>743</v>
      </c>
      <c r="E565" s="65">
        <f>(0.1+0.1)*1*2.5</f>
        <v>0.5</v>
      </c>
      <c r="F565" s="74" t="s">
        <v>17</v>
      </c>
      <c r="G565" s="175"/>
      <c r="H565" s="176"/>
      <c r="J565" s="133"/>
      <c r="K565" s="138"/>
      <c r="L565" s="133"/>
      <c r="M565" s="139"/>
    </row>
    <row r="566" spans="1:13" s="4" customFormat="1" ht="35.1" customHeight="1" x14ac:dyDescent="0.3">
      <c r="A566" s="170"/>
      <c r="B566" s="171"/>
      <c r="C566" s="172"/>
      <c r="D566" s="16" t="s">
        <v>744</v>
      </c>
      <c r="E566" s="65">
        <f>(0.1+0.1)*1*3.5</f>
        <v>0.70000000000000007</v>
      </c>
      <c r="F566" s="74" t="s">
        <v>17</v>
      </c>
      <c r="G566" s="175"/>
      <c r="H566" s="176"/>
      <c r="J566" s="133"/>
      <c r="K566" s="138"/>
      <c r="L566" s="133"/>
      <c r="M566" s="139"/>
    </row>
    <row r="567" spans="1:13" s="4" customFormat="1" ht="35.1" customHeight="1" x14ac:dyDescent="0.3">
      <c r="A567" s="170"/>
      <c r="B567" s="171"/>
      <c r="C567" s="172"/>
      <c r="D567" s="16" t="s">
        <v>745</v>
      </c>
      <c r="E567" s="65">
        <f>(0.1+0.1)*1*2.5</f>
        <v>0.5</v>
      </c>
      <c r="F567" s="74" t="s">
        <v>17</v>
      </c>
      <c r="G567" s="175"/>
      <c r="H567" s="176"/>
      <c r="J567" s="133"/>
      <c r="K567" s="138"/>
      <c r="L567" s="133"/>
      <c r="M567" s="139"/>
    </row>
    <row r="568" spans="1:13" s="4" customFormat="1" ht="35.1" customHeight="1" x14ac:dyDescent="0.3">
      <c r="A568" s="170"/>
      <c r="B568" s="171"/>
      <c r="C568" s="172"/>
      <c r="D568" s="16" t="s">
        <v>746</v>
      </c>
      <c r="E568" s="65">
        <f>(0.1+0.1)*1*3.5</f>
        <v>0.70000000000000007</v>
      </c>
      <c r="F568" s="74" t="s">
        <v>17</v>
      </c>
      <c r="G568" s="175"/>
      <c r="H568" s="176"/>
      <c r="J568" s="133"/>
      <c r="K568" s="138"/>
      <c r="L568" s="133"/>
      <c r="M568" s="139"/>
    </row>
    <row r="569" spans="1:13" s="4" customFormat="1" ht="35.1" customHeight="1" x14ac:dyDescent="0.3">
      <c r="A569" s="170"/>
      <c r="B569" s="171"/>
      <c r="C569" s="172"/>
      <c r="D569" s="16" t="s">
        <v>747</v>
      </c>
      <c r="E569" s="65">
        <f>(0.1+0.1)*1*(3.5+1)</f>
        <v>0.9</v>
      </c>
      <c r="F569" s="74" t="s">
        <v>17</v>
      </c>
      <c r="G569" s="175"/>
      <c r="H569" s="176"/>
      <c r="J569" s="133"/>
      <c r="K569" s="138"/>
      <c r="L569" s="133"/>
      <c r="M569" s="139"/>
    </row>
    <row r="570" spans="1:13" s="4" customFormat="1" ht="35.1" customHeight="1" x14ac:dyDescent="0.3">
      <c r="A570" s="170"/>
      <c r="B570" s="171"/>
      <c r="C570" s="172"/>
      <c r="D570" s="16" t="s">
        <v>748</v>
      </c>
      <c r="E570" s="65">
        <f>(0.1+0.1)*1*3.5</f>
        <v>0.70000000000000007</v>
      </c>
      <c r="F570" s="74" t="s">
        <v>17</v>
      </c>
      <c r="G570" s="175"/>
      <c r="H570" s="176"/>
      <c r="J570" s="133"/>
      <c r="K570" s="138"/>
      <c r="L570" s="133"/>
      <c r="M570" s="139"/>
    </row>
    <row r="571" spans="1:13" s="4" customFormat="1" ht="35.1" customHeight="1" x14ac:dyDescent="0.3">
      <c r="A571" s="170"/>
      <c r="B571" s="171"/>
      <c r="C571" s="172"/>
      <c r="D571" s="16" t="s">
        <v>749</v>
      </c>
      <c r="E571" s="65">
        <f>(0.1+0.1)*1*2.5</f>
        <v>0.5</v>
      </c>
      <c r="F571" s="74" t="s">
        <v>17</v>
      </c>
      <c r="G571" s="175"/>
      <c r="H571" s="176"/>
      <c r="J571" s="133"/>
      <c r="K571" s="138"/>
      <c r="L571" s="133"/>
      <c r="M571" s="139"/>
    </row>
    <row r="572" spans="1:13" s="4" customFormat="1" ht="35.1" customHeight="1" x14ac:dyDescent="0.3">
      <c r="A572" s="170"/>
      <c r="B572" s="171"/>
      <c r="C572" s="172"/>
      <c r="D572" s="16" t="s">
        <v>750</v>
      </c>
      <c r="E572" s="65">
        <f>(0.1+0.1)*1*3.5</f>
        <v>0.70000000000000007</v>
      </c>
      <c r="F572" s="74" t="s">
        <v>17</v>
      </c>
      <c r="G572" s="175"/>
      <c r="H572" s="176"/>
      <c r="J572" s="133"/>
      <c r="K572" s="138"/>
      <c r="L572" s="133"/>
      <c r="M572" s="139"/>
    </row>
    <row r="573" spans="1:13" s="4" customFormat="1" ht="35.1" customHeight="1" x14ac:dyDescent="0.3">
      <c r="A573" s="170"/>
      <c r="B573" s="171"/>
      <c r="C573" s="172"/>
      <c r="D573" s="16" t="s">
        <v>751</v>
      </c>
      <c r="E573" s="65">
        <f>(0.1+0.1)*1*(3.5+1)</f>
        <v>0.9</v>
      </c>
      <c r="F573" s="74" t="s">
        <v>17</v>
      </c>
      <c r="G573" s="175"/>
      <c r="H573" s="176"/>
      <c r="J573" s="133"/>
      <c r="K573" s="138"/>
      <c r="L573" s="133"/>
      <c r="M573" s="139"/>
    </row>
    <row r="574" spans="1:13" s="4" customFormat="1" ht="35.1" customHeight="1" x14ac:dyDescent="0.3">
      <c r="A574" s="170"/>
      <c r="B574" s="171"/>
      <c r="C574" s="172"/>
      <c r="D574" s="16" t="s">
        <v>752</v>
      </c>
      <c r="E574" s="65">
        <f>(0.1+0.1)*1*3.5</f>
        <v>0.70000000000000007</v>
      </c>
      <c r="F574" s="74" t="s">
        <v>17</v>
      </c>
      <c r="G574" s="175"/>
      <c r="H574" s="176"/>
      <c r="J574" s="133"/>
      <c r="K574" s="138"/>
      <c r="L574" s="133"/>
      <c r="M574" s="139"/>
    </row>
    <row r="575" spans="1:13" s="4" customFormat="1" ht="35.1" customHeight="1" x14ac:dyDescent="0.3">
      <c r="A575" s="170"/>
      <c r="B575" s="171"/>
      <c r="C575" s="172"/>
      <c r="D575" s="16" t="s">
        <v>753</v>
      </c>
      <c r="E575" s="65">
        <f>(0.1+0.1)*1*2.5</f>
        <v>0.5</v>
      </c>
      <c r="F575" s="74" t="s">
        <v>17</v>
      </c>
      <c r="G575" s="175"/>
      <c r="H575" s="176"/>
      <c r="J575" s="133"/>
      <c r="K575" s="138"/>
      <c r="L575" s="133"/>
      <c r="M575" s="139"/>
    </row>
    <row r="576" spans="1:13" s="4" customFormat="1" ht="35.1" customHeight="1" x14ac:dyDescent="0.3">
      <c r="A576" s="170"/>
      <c r="B576" s="171"/>
      <c r="C576" s="172"/>
      <c r="D576" s="16" t="s">
        <v>754</v>
      </c>
      <c r="E576" s="65">
        <f>(0.1+0.1)*1*3.5</f>
        <v>0.70000000000000007</v>
      </c>
      <c r="F576" s="74" t="s">
        <v>17</v>
      </c>
      <c r="G576" s="175"/>
      <c r="H576" s="176"/>
      <c r="J576" s="133"/>
      <c r="K576" s="138"/>
      <c r="L576" s="133"/>
      <c r="M576" s="139"/>
    </row>
    <row r="577" spans="1:13" s="4" customFormat="1" ht="35.1" customHeight="1" x14ac:dyDescent="0.3">
      <c r="A577" s="170"/>
      <c r="B577" s="171"/>
      <c r="C577" s="172"/>
      <c r="D577" s="16" t="s">
        <v>755</v>
      </c>
      <c r="E577" s="65">
        <f>(0.1+0.1)*1*(3.5+1)</f>
        <v>0.9</v>
      </c>
      <c r="F577" s="74" t="s">
        <v>17</v>
      </c>
      <c r="G577" s="175"/>
      <c r="H577" s="176"/>
      <c r="J577" s="133"/>
      <c r="K577" s="138"/>
      <c r="L577" s="133"/>
      <c r="M577" s="139"/>
    </row>
    <row r="578" spans="1:13" s="4" customFormat="1" ht="35.1" customHeight="1" x14ac:dyDescent="0.3">
      <c r="A578" s="170"/>
      <c r="B578" s="171"/>
      <c r="C578" s="172"/>
      <c r="D578" s="16" t="s">
        <v>756</v>
      </c>
      <c r="E578" s="65">
        <f>(0.1+0.1)*1*3.5</f>
        <v>0.70000000000000007</v>
      </c>
      <c r="F578" s="74" t="s">
        <v>17</v>
      </c>
      <c r="G578" s="175"/>
      <c r="H578" s="176"/>
      <c r="J578" s="133"/>
      <c r="K578" s="138"/>
      <c r="L578" s="133"/>
      <c r="M578" s="139"/>
    </row>
    <row r="579" spans="1:13" s="4" customFormat="1" ht="35.1" customHeight="1" x14ac:dyDescent="0.3">
      <c r="A579" s="170"/>
      <c r="B579" s="171"/>
      <c r="C579" s="172"/>
      <c r="D579" s="16" t="s">
        <v>757</v>
      </c>
      <c r="E579" s="65">
        <f>(0.1+0.1)*1*2.5</f>
        <v>0.5</v>
      </c>
      <c r="F579" s="74" t="s">
        <v>17</v>
      </c>
      <c r="G579" s="175"/>
      <c r="H579" s="176"/>
      <c r="J579" s="133"/>
      <c r="K579" s="138"/>
      <c r="L579" s="133"/>
      <c r="M579" s="139"/>
    </row>
    <row r="580" spans="1:13" s="4" customFormat="1" ht="35.1" customHeight="1" x14ac:dyDescent="0.3">
      <c r="A580" s="170"/>
      <c r="B580" s="171"/>
      <c r="C580" s="172"/>
      <c r="D580" s="16" t="s">
        <v>758</v>
      </c>
      <c r="E580" s="65">
        <f>(0.1+0.1)*1*3.5</f>
        <v>0.70000000000000007</v>
      </c>
      <c r="F580" s="74" t="s">
        <v>17</v>
      </c>
      <c r="G580" s="175"/>
      <c r="H580" s="176"/>
      <c r="J580" s="133"/>
      <c r="K580" s="138"/>
      <c r="L580" s="133"/>
      <c r="M580" s="139"/>
    </row>
    <row r="581" spans="1:13" s="4" customFormat="1" ht="35.1" customHeight="1" x14ac:dyDescent="0.3">
      <c r="A581" s="170"/>
      <c r="B581" s="171"/>
      <c r="C581" s="172"/>
      <c r="D581" s="16" t="s">
        <v>759</v>
      </c>
      <c r="E581" s="65">
        <f>(0.1+0.1)*1*2.5</f>
        <v>0.5</v>
      </c>
      <c r="F581" s="74" t="s">
        <v>17</v>
      </c>
      <c r="G581" s="175"/>
      <c r="H581" s="176"/>
      <c r="J581" s="133"/>
      <c r="K581" s="138"/>
      <c r="L581" s="133"/>
      <c r="M581" s="139"/>
    </row>
    <row r="582" spans="1:13" s="4" customFormat="1" ht="35.1" customHeight="1" x14ac:dyDescent="0.3">
      <c r="A582" s="170"/>
      <c r="B582" s="171"/>
      <c r="C582" s="172"/>
      <c r="D582" s="16" t="s">
        <v>760</v>
      </c>
      <c r="E582" s="65">
        <f>(0.1+0.1)*1*3.5</f>
        <v>0.70000000000000007</v>
      </c>
      <c r="F582" s="74" t="s">
        <v>17</v>
      </c>
      <c r="G582" s="175"/>
      <c r="H582" s="176"/>
      <c r="J582" s="133"/>
      <c r="K582" s="138"/>
      <c r="L582" s="133"/>
      <c r="M582" s="139"/>
    </row>
    <row r="583" spans="1:13" s="4" customFormat="1" ht="35.1" customHeight="1" x14ac:dyDescent="0.3">
      <c r="A583" s="170"/>
      <c r="B583" s="171"/>
      <c r="C583" s="172"/>
      <c r="D583" s="16" t="s">
        <v>761</v>
      </c>
      <c r="E583" s="65">
        <f>(0.1+0.1)*1*(3.5+1)</f>
        <v>0.9</v>
      </c>
      <c r="F583" s="74" t="s">
        <v>17</v>
      </c>
      <c r="G583" s="175"/>
      <c r="H583" s="176"/>
      <c r="J583" s="133"/>
      <c r="K583" s="138"/>
      <c r="L583" s="133"/>
      <c r="M583" s="139"/>
    </row>
    <row r="584" spans="1:13" s="4" customFormat="1" ht="35.1" customHeight="1" x14ac:dyDescent="0.3">
      <c r="A584" s="170"/>
      <c r="B584" s="171"/>
      <c r="C584" s="172"/>
      <c r="D584" s="16" t="s">
        <v>762</v>
      </c>
      <c r="E584" s="65">
        <f>(0.1+0.1)*1*3.5</f>
        <v>0.70000000000000007</v>
      </c>
      <c r="F584" s="74" t="s">
        <v>17</v>
      </c>
      <c r="G584" s="175"/>
      <c r="H584" s="176"/>
      <c r="J584" s="133"/>
      <c r="K584" s="138"/>
      <c r="L584" s="133"/>
      <c r="M584" s="139"/>
    </row>
    <row r="585" spans="1:13" s="4" customFormat="1" ht="35.1" customHeight="1" x14ac:dyDescent="0.3">
      <c r="A585" s="170"/>
      <c r="B585" s="171"/>
      <c r="C585" s="172"/>
      <c r="D585" s="16" t="s">
        <v>763</v>
      </c>
      <c r="E585" s="65">
        <f>(0.1+0.1)*1*(3.5+1)</f>
        <v>0.9</v>
      </c>
      <c r="F585" s="74" t="s">
        <v>17</v>
      </c>
      <c r="G585" s="175"/>
      <c r="H585" s="176"/>
      <c r="J585" s="133"/>
      <c r="K585" s="138"/>
      <c r="L585" s="133"/>
      <c r="M585" s="139"/>
    </row>
    <row r="586" spans="1:13" s="4" customFormat="1" ht="35.1" customHeight="1" x14ac:dyDescent="0.3">
      <c r="A586" s="170"/>
      <c r="B586" s="171"/>
      <c r="C586" s="172"/>
      <c r="D586" s="16" t="s">
        <v>764</v>
      </c>
      <c r="E586" s="65">
        <f>(0.1+0.1)*1*3.5</f>
        <v>0.70000000000000007</v>
      </c>
      <c r="F586" s="74" t="s">
        <v>17</v>
      </c>
      <c r="G586" s="175"/>
      <c r="H586" s="176"/>
      <c r="J586" s="133"/>
      <c r="K586" s="138"/>
      <c r="L586" s="133"/>
      <c r="M586" s="139"/>
    </row>
    <row r="587" spans="1:13" s="4" customFormat="1" ht="35.1" customHeight="1" x14ac:dyDescent="0.3">
      <c r="A587" s="170"/>
      <c r="B587" s="171"/>
      <c r="C587" s="172"/>
      <c r="D587" s="16" t="s">
        <v>765</v>
      </c>
      <c r="E587" s="65">
        <f>(0.1+0.1)*1*2.5</f>
        <v>0.5</v>
      </c>
      <c r="F587" s="74" t="s">
        <v>17</v>
      </c>
      <c r="G587" s="175"/>
      <c r="H587" s="176"/>
      <c r="J587" s="133"/>
      <c r="K587" s="138"/>
      <c r="L587" s="133"/>
      <c r="M587" s="139"/>
    </row>
    <row r="588" spans="1:13" s="4" customFormat="1" ht="35.1" customHeight="1" x14ac:dyDescent="0.3">
      <c r="A588" s="170"/>
      <c r="B588" s="171"/>
      <c r="C588" s="172"/>
      <c r="D588" s="243" t="s">
        <v>361</v>
      </c>
      <c r="E588" s="244">
        <f>SUM(E560:E587)</f>
        <v>19.199999999999992</v>
      </c>
      <c r="F588" s="245" t="s">
        <v>17</v>
      </c>
      <c r="G588" s="175"/>
      <c r="H588" s="176"/>
      <c r="J588" s="133"/>
      <c r="K588" s="138"/>
      <c r="L588" s="133"/>
      <c r="M588" s="139"/>
    </row>
    <row r="589" spans="1:13" s="4" customFormat="1" ht="35.1" customHeight="1" x14ac:dyDescent="0.3">
      <c r="A589" s="170"/>
      <c r="B589" s="171"/>
      <c r="C589" s="172"/>
      <c r="D589" s="243"/>
      <c r="E589" s="244"/>
      <c r="F589" s="245"/>
      <c r="G589" s="175"/>
      <c r="H589" s="176"/>
      <c r="J589" s="133"/>
      <c r="K589" s="138"/>
      <c r="L589" s="133"/>
      <c r="M589" s="139"/>
    </row>
    <row r="590" spans="1:13" s="4" customFormat="1" ht="35.1" customHeight="1" x14ac:dyDescent="0.3">
      <c r="A590" s="170"/>
      <c r="B590" s="171"/>
      <c r="C590" s="172"/>
      <c r="D590" s="24" t="s">
        <v>428</v>
      </c>
      <c r="E590" s="25"/>
      <c r="F590" s="26"/>
      <c r="G590" s="175"/>
      <c r="H590" s="176"/>
      <c r="J590" s="133"/>
      <c r="K590" s="138"/>
      <c r="L590" s="133"/>
      <c r="M590" s="139"/>
    </row>
    <row r="591" spans="1:13" s="4" customFormat="1" ht="35.1" customHeight="1" x14ac:dyDescent="0.3">
      <c r="A591" s="170"/>
      <c r="B591" s="171"/>
      <c r="C591" s="172"/>
      <c r="D591" s="24" t="s">
        <v>661</v>
      </c>
      <c r="E591" s="25">
        <f>2*(0.15+0.3)*1*6</f>
        <v>5.3999999999999995</v>
      </c>
      <c r="F591" s="26" t="s">
        <v>17</v>
      </c>
      <c r="G591" s="175"/>
      <c r="H591" s="176"/>
      <c r="J591" s="133"/>
      <c r="K591" s="138"/>
      <c r="L591" s="133"/>
      <c r="M591" s="139"/>
    </row>
    <row r="592" spans="1:13" s="4" customFormat="1" ht="35.1" customHeight="1" x14ac:dyDescent="0.3">
      <c r="A592" s="170"/>
      <c r="B592" s="171"/>
      <c r="C592" s="172"/>
      <c r="D592" s="243" t="s">
        <v>369</v>
      </c>
      <c r="E592" s="244">
        <f>SUM(E591)</f>
        <v>5.3999999999999995</v>
      </c>
      <c r="F592" s="245" t="s">
        <v>17</v>
      </c>
      <c r="G592" s="175"/>
      <c r="H592" s="176"/>
      <c r="J592" s="133"/>
      <c r="K592" s="138"/>
      <c r="L592" s="133"/>
      <c r="M592" s="139"/>
    </row>
    <row r="593" spans="1:13" s="4" customFormat="1" ht="35.1" customHeight="1" x14ac:dyDescent="0.3">
      <c r="A593" s="170"/>
      <c r="B593" s="171"/>
      <c r="C593" s="172"/>
      <c r="D593" s="243" t="s">
        <v>362</v>
      </c>
      <c r="E593" s="244">
        <f>E529+E557+E588+E592</f>
        <v>63.4</v>
      </c>
      <c r="F593" s="245" t="s">
        <v>17</v>
      </c>
      <c r="G593" s="175"/>
      <c r="H593" s="176"/>
      <c r="J593" s="133"/>
      <c r="K593" s="138"/>
      <c r="L593" s="133"/>
      <c r="M593" s="139"/>
    </row>
    <row r="594" spans="1:13" s="4" customFormat="1" ht="35.1" customHeight="1" x14ac:dyDescent="0.3">
      <c r="A594" s="170"/>
      <c r="B594" s="171"/>
      <c r="C594" s="172"/>
      <c r="D594" s="90"/>
      <c r="E594" s="91"/>
      <c r="F594" s="92"/>
      <c r="G594" s="175"/>
      <c r="H594" s="176"/>
      <c r="J594" s="133"/>
      <c r="K594" s="138"/>
      <c r="L594" s="133"/>
      <c r="M594" s="139"/>
    </row>
    <row r="595" spans="1:13" s="4" customFormat="1" ht="35.1" customHeight="1" x14ac:dyDescent="0.3">
      <c r="A595" s="170"/>
      <c r="B595" s="171"/>
      <c r="C595" s="172"/>
      <c r="D595" s="24" t="s">
        <v>430</v>
      </c>
      <c r="E595" s="25"/>
      <c r="F595" s="26"/>
      <c r="G595" s="175"/>
      <c r="H595" s="176"/>
      <c r="J595" s="133"/>
      <c r="K595" s="138"/>
      <c r="L595" s="133"/>
      <c r="M595" s="139"/>
    </row>
    <row r="596" spans="1:13" s="4" customFormat="1" ht="35.1" customHeight="1" x14ac:dyDescent="0.3">
      <c r="A596" s="170"/>
      <c r="B596" s="171"/>
      <c r="C596" s="172"/>
      <c r="D596" s="24" t="s">
        <v>766</v>
      </c>
      <c r="E596" s="25">
        <f>(0.1+0.1)*0.7*(116-6)</f>
        <v>15.399999999999999</v>
      </c>
      <c r="F596" s="26" t="s">
        <v>17</v>
      </c>
      <c r="G596" s="175"/>
      <c r="H596" s="176"/>
      <c r="J596" s="133"/>
      <c r="K596" s="138"/>
      <c r="L596" s="133"/>
      <c r="M596" s="139"/>
    </row>
    <row r="597" spans="1:13" s="4" customFormat="1" ht="35.1" customHeight="1" x14ac:dyDescent="0.3">
      <c r="A597" s="170"/>
      <c r="B597" s="171"/>
      <c r="C597" s="172"/>
      <c r="D597" s="246" t="s">
        <v>367</v>
      </c>
      <c r="E597" s="247">
        <f>SUM(E596)</f>
        <v>15.399999999999999</v>
      </c>
      <c r="F597" s="248" t="s">
        <v>17</v>
      </c>
      <c r="G597" s="175"/>
      <c r="H597" s="176"/>
      <c r="J597" s="133"/>
      <c r="K597" s="138"/>
      <c r="L597" s="133"/>
      <c r="M597" s="139"/>
    </row>
    <row r="598" spans="1:13" s="4" customFormat="1" ht="35.1" customHeight="1" x14ac:dyDescent="0.3">
      <c r="A598" s="170"/>
      <c r="B598" s="171"/>
      <c r="C598" s="172"/>
      <c r="D598" s="243"/>
      <c r="E598" s="244"/>
      <c r="F598" s="245"/>
      <c r="G598" s="175"/>
      <c r="H598" s="176"/>
      <c r="J598" s="133"/>
      <c r="K598" s="138"/>
      <c r="L598" s="133"/>
      <c r="M598" s="139"/>
    </row>
    <row r="599" spans="1:13" s="4" customFormat="1" ht="35.1" customHeight="1" x14ac:dyDescent="0.3">
      <c r="A599" s="170"/>
      <c r="B599" s="171"/>
      <c r="C599" s="172"/>
      <c r="D599" s="16" t="s">
        <v>363</v>
      </c>
      <c r="E599" s="244"/>
      <c r="F599" s="245"/>
      <c r="G599" s="175"/>
      <c r="H599" s="176"/>
      <c r="J599" s="133"/>
      <c r="K599" s="138"/>
      <c r="L599" s="133"/>
      <c r="M599" s="139"/>
    </row>
    <row r="600" spans="1:13" s="4" customFormat="1" ht="35.1" customHeight="1" x14ac:dyDescent="0.3">
      <c r="A600" s="170"/>
      <c r="B600" s="171"/>
      <c r="C600" s="172"/>
      <c r="D600" s="16" t="s">
        <v>357</v>
      </c>
      <c r="E600" s="65"/>
      <c r="F600" s="74"/>
      <c r="G600" s="175"/>
      <c r="H600" s="176"/>
      <c r="J600" s="133"/>
      <c r="K600" s="138"/>
      <c r="L600" s="133"/>
      <c r="M600" s="139"/>
    </row>
    <row r="601" spans="1:13" s="4" customFormat="1" ht="35.1" customHeight="1" x14ac:dyDescent="0.3">
      <c r="A601" s="170"/>
      <c r="B601" s="171"/>
      <c r="C601" s="172"/>
      <c r="D601" s="16" t="s">
        <v>417</v>
      </c>
      <c r="E601" s="65">
        <f>1*3.5*0</f>
        <v>0</v>
      </c>
      <c r="F601" s="74" t="s">
        <v>17</v>
      </c>
      <c r="G601" s="175"/>
      <c r="H601" s="176"/>
      <c r="J601" s="133"/>
      <c r="K601" s="138"/>
      <c r="L601" s="133"/>
      <c r="M601" s="139"/>
    </row>
    <row r="602" spans="1:13" s="4" customFormat="1" ht="35.1" customHeight="1" x14ac:dyDescent="0.3">
      <c r="A602" s="170"/>
      <c r="B602" s="171"/>
      <c r="C602" s="172"/>
      <c r="D602" s="16" t="s">
        <v>767</v>
      </c>
      <c r="E602" s="65">
        <f>(0.1+0.1)*1*2.5</f>
        <v>0.5</v>
      </c>
      <c r="F602" s="74" t="s">
        <v>17</v>
      </c>
      <c r="G602" s="175"/>
      <c r="H602" s="176"/>
      <c r="J602" s="133"/>
      <c r="K602" s="138"/>
      <c r="L602" s="133"/>
      <c r="M602" s="139"/>
    </row>
    <row r="603" spans="1:13" s="4" customFormat="1" ht="35.1" customHeight="1" x14ac:dyDescent="0.3">
      <c r="A603" s="170"/>
      <c r="B603" s="171"/>
      <c r="C603" s="172"/>
      <c r="D603" s="16" t="s">
        <v>768</v>
      </c>
      <c r="E603" s="65">
        <f t="shared" ref="E603:E617" si="37">(0.1+0.1)*1*2.5</f>
        <v>0.5</v>
      </c>
      <c r="F603" s="74" t="s">
        <v>17</v>
      </c>
      <c r="G603" s="175"/>
      <c r="H603" s="176"/>
      <c r="J603" s="133"/>
      <c r="K603" s="138"/>
      <c r="L603" s="133"/>
      <c r="M603" s="139"/>
    </row>
    <row r="604" spans="1:13" s="4" customFormat="1" ht="35.1" customHeight="1" x14ac:dyDescent="0.3">
      <c r="A604" s="170"/>
      <c r="B604" s="171"/>
      <c r="C604" s="172"/>
      <c r="D604" s="16" t="s">
        <v>769</v>
      </c>
      <c r="E604" s="65">
        <f t="shared" si="37"/>
        <v>0.5</v>
      </c>
      <c r="F604" s="74" t="s">
        <v>17</v>
      </c>
      <c r="G604" s="175"/>
      <c r="H604" s="176"/>
      <c r="J604" s="133"/>
      <c r="K604" s="138"/>
      <c r="L604" s="133"/>
      <c r="M604" s="139"/>
    </row>
    <row r="605" spans="1:13" s="4" customFormat="1" ht="35.1" customHeight="1" x14ac:dyDescent="0.3">
      <c r="A605" s="170"/>
      <c r="B605" s="171"/>
      <c r="C605" s="172"/>
      <c r="D605" s="16" t="s">
        <v>770</v>
      </c>
      <c r="E605" s="65">
        <f t="shared" si="37"/>
        <v>0.5</v>
      </c>
      <c r="F605" s="74" t="s">
        <v>17</v>
      </c>
      <c r="G605" s="175"/>
      <c r="H605" s="176"/>
      <c r="J605" s="133"/>
      <c r="K605" s="138"/>
      <c r="L605" s="133"/>
      <c r="M605" s="139"/>
    </row>
    <row r="606" spans="1:13" s="4" customFormat="1" ht="35.1" customHeight="1" x14ac:dyDescent="0.3">
      <c r="A606" s="170"/>
      <c r="B606" s="171"/>
      <c r="C606" s="172"/>
      <c r="D606" s="16" t="s">
        <v>771</v>
      </c>
      <c r="E606" s="65">
        <f t="shared" si="37"/>
        <v>0.5</v>
      </c>
      <c r="F606" s="74" t="s">
        <v>17</v>
      </c>
      <c r="G606" s="175"/>
      <c r="H606" s="176"/>
      <c r="J606" s="133"/>
      <c r="K606" s="138"/>
      <c r="L606" s="133"/>
      <c r="M606" s="139"/>
    </row>
    <row r="607" spans="1:13" s="4" customFormat="1" ht="35.1" customHeight="1" x14ac:dyDescent="0.3">
      <c r="A607" s="170"/>
      <c r="B607" s="171"/>
      <c r="C607" s="172"/>
      <c r="D607" s="16" t="s">
        <v>772</v>
      </c>
      <c r="E607" s="65">
        <f t="shared" si="37"/>
        <v>0.5</v>
      </c>
      <c r="F607" s="74" t="s">
        <v>17</v>
      </c>
      <c r="G607" s="175"/>
      <c r="H607" s="176"/>
      <c r="J607" s="133"/>
      <c r="K607" s="138"/>
      <c r="L607" s="133"/>
      <c r="M607" s="139"/>
    </row>
    <row r="608" spans="1:13" s="4" customFormat="1" ht="35.1" customHeight="1" x14ac:dyDescent="0.3">
      <c r="A608" s="170"/>
      <c r="B608" s="171"/>
      <c r="C608" s="172"/>
      <c r="D608" s="16" t="s">
        <v>773</v>
      </c>
      <c r="E608" s="65">
        <f t="shared" si="37"/>
        <v>0.5</v>
      </c>
      <c r="F608" s="74" t="s">
        <v>17</v>
      </c>
      <c r="G608" s="175"/>
      <c r="H608" s="176"/>
      <c r="J608" s="133"/>
      <c r="K608" s="138"/>
      <c r="L608" s="133"/>
      <c r="M608" s="139"/>
    </row>
    <row r="609" spans="1:13" s="4" customFormat="1" ht="35.1" customHeight="1" x14ac:dyDescent="0.3">
      <c r="A609" s="170"/>
      <c r="B609" s="171"/>
      <c r="C609" s="172"/>
      <c r="D609" s="16" t="s">
        <v>774</v>
      </c>
      <c r="E609" s="65">
        <f t="shared" si="37"/>
        <v>0.5</v>
      </c>
      <c r="F609" s="74" t="s">
        <v>17</v>
      </c>
      <c r="G609" s="175"/>
      <c r="H609" s="176"/>
      <c r="J609" s="133"/>
      <c r="K609" s="138"/>
      <c r="L609" s="133"/>
      <c r="M609" s="139"/>
    </row>
    <row r="610" spans="1:13" s="4" customFormat="1" ht="35.1" customHeight="1" x14ac:dyDescent="0.3">
      <c r="A610" s="170"/>
      <c r="B610" s="171"/>
      <c r="C610" s="172"/>
      <c r="D610" s="16" t="s">
        <v>775</v>
      </c>
      <c r="E610" s="65">
        <f t="shared" si="37"/>
        <v>0.5</v>
      </c>
      <c r="F610" s="74" t="s">
        <v>17</v>
      </c>
      <c r="G610" s="175"/>
      <c r="H610" s="176"/>
      <c r="J610" s="133"/>
      <c r="K610" s="138"/>
      <c r="L610" s="133"/>
      <c r="M610" s="139"/>
    </row>
    <row r="611" spans="1:13" s="4" customFormat="1" ht="35.1" customHeight="1" x14ac:dyDescent="0.3">
      <c r="A611" s="170"/>
      <c r="B611" s="171"/>
      <c r="C611" s="172"/>
      <c r="D611" s="16" t="s">
        <v>776</v>
      </c>
      <c r="E611" s="65">
        <f t="shared" si="37"/>
        <v>0.5</v>
      </c>
      <c r="F611" s="74" t="s">
        <v>17</v>
      </c>
      <c r="G611" s="175"/>
      <c r="H611" s="176"/>
      <c r="J611" s="133"/>
      <c r="K611" s="138"/>
      <c r="L611" s="133"/>
      <c r="M611" s="139"/>
    </row>
    <row r="612" spans="1:13" s="4" customFormat="1" ht="35.1" customHeight="1" x14ac:dyDescent="0.3">
      <c r="A612" s="170"/>
      <c r="B612" s="171"/>
      <c r="C612" s="172"/>
      <c r="D612" s="16" t="s">
        <v>777</v>
      </c>
      <c r="E612" s="65">
        <f t="shared" si="37"/>
        <v>0.5</v>
      </c>
      <c r="F612" s="74" t="s">
        <v>17</v>
      </c>
      <c r="G612" s="175"/>
      <c r="H612" s="176"/>
      <c r="J612" s="133"/>
      <c r="K612" s="138"/>
      <c r="L612" s="133"/>
      <c r="M612" s="139"/>
    </row>
    <row r="613" spans="1:13" s="4" customFormat="1" ht="35.1" customHeight="1" x14ac:dyDescent="0.3">
      <c r="A613" s="170"/>
      <c r="B613" s="171"/>
      <c r="C613" s="172"/>
      <c r="D613" s="16" t="s">
        <v>778</v>
      </c>
      <c r="E613" s="65">
        <f t="shared" si="37"/>
        <v>0.5</v>
      </c>
      <c r="F613" s="74" t="s">
        <v>17</v>
      </c>
      <c r="G613" s="175"/>
      <c r="H613" s="176"/>
      <c r="J613" s="133"/>
      <c r="K613" s="138"/>
      <c r="L613" s="133"/>
      <c r="M613" s="139"/>
    </row>
    <row r="614" spans="1:13" s="4" customFormat="1" ht="35.1" customHeight="1" x14ac:dyDescent="0.3">
      <c r="A614" s="170"/>
      <c r="B614" s="171"/>
      <c r="C614" s="172"/>
      <c r="D614" s="16" t="s">
        <v>779</v>
      </c>
      <c r="E614" s="65">
        <f t="shared" si="37"/>
        <v>0.5</v>
      </c>
      <c r="F614" s="74" t="s">
        <v>17</v>
      </c>
      <c r="G614" s="175"/>
      <c r="H614" s="176"/>
      <c r="J614" s="133"/>
      <c r="K614" s="138"/>
      <c r="L614" s="133"/>
      <c r="M614" s="139"/>
    </row>
    <row r="615" spans="1:13" s="4" customFormat="1" ht="35.1" customHeight="1" x14ac:dyDescent="0.3">
      <c r="A615" s="170"/>
      <c r="B615" s="171"/>
      <c r="C615" s="172"/>
      <c r="D615" s="16" t="s">
        <v>780</v>
      </c>
      <c r="E615" s="65">
        <f t="shared" si="37"/>
        <v>0.5</v>
      </c>
      <c r="F615" s="74" t="s">
        <v>17</v>
      </c>
      <c r="G615" s="175"/>
      <c r="H615" s="176"/>
      <c r="J615" s="133"/>
      <c r="K615" s="138"/>
      <c r="L615" s="133"/>
      <c r="M615" s="139"/>
    </row>
    <row r="616" spans="1:13" s="4" customFormat="1" ht="35.1" customHeight="1" x14ac:dyDescent="0.3">
      <c r="A616" s="170"/>
      <c r="B616" s="171"/>
      <c r="C616" s="172"/>
      <c r="D616" s="16" t="s">
        <v>781</v>
      </c>
      <c r="E616" s="65">
        <f t="shared" si="37"/>
        <v>0.5</v>
      </c>
      <c r="F616" s="74" t="s">
        <v>17</v>
      </c>
      <c r="G616" s="175"/>
      <c r="H616" s="176"/>
      <c r="J616" s="133"/>
      <c r="K616" s="138"/>
      <c r="L616" s="133"/>
      <c r="M616" s="139"/>
    </row>
    <row r="617" spans="1:13" s="4" customFormat="1" ht="35.1" customHeight="1" x14ac:dyDescent="0.3">
      <c r="A617" s="170"/>
      <c r="B617" s="171"/>
      <c r="C617" s="172"/>
      <c r="D617" s="16" t="s">
        <v>782</v>
      </c>
      <c r="E617" s="65">
        <f t="shared" si="37"/>
        <v>0.5</v>
      </c>
      <c r="F617" s="74" t="s">
        <v>17</v>
      </c>
      <c r="G617" s="175"/>
      <c r="H617" s="176"/>
      <c r="J617" s="133"/>
      <c r="K617" s="138"/>
      <c r="L617" s="133"/>
      <c r="M617" s="139"/>
    </row>
    <row r="618" spans="1:13" s="4" customFormat="1" ht="35.1" customHeight="1" x14ac:dyDescent="0.3">
      <c r="A618" s="170"/>
      <c r="B618" s="171"/>
      <c r="C618" s="172"/>
      <c r="D618" s="243" t="s">
        <v>364</v>
      </c>
      <c r="E618" s="244">
        <f>SUM(E601:E617)</f>
        <v>8</v>
      </c>
      <c r="F618" s="245" t="s">
        <v>17</v>
      </c>
      <c r="G618" s="175"/>
      <c r="H618" s="176"/>
      <c r="J618" s="133"/>
      <c r="K618" s="138"/>
      <c r="L618" s="133"/>
      <c r="M618" s="139"/>
    </row>
    <row r="619" spans="1:13" s="4" customFormat="1" ht="35.1" customHeight="1" x14ac:dyDescent="0.3">
      <c r="A619" s="170"/>
      <c r="B619" s="171"/>
      <c r="C619" s="172"/>
      <c r="D619" s="243"/>
      <c r="E619" s="244"/>
      <c r="F619" s="245"/>
      <c r="G619" s="175"/>
      <c r="H619" s="176"/>
      <c r="J619" s="133"/>
      <c r="K619" s="138"/>
      <c r="L619" s="133"/>
      <c r="M619" s="139"/>
    </row>
    <row r="620" spans="1:13" s="4" customFormat="1" ht="35.1" customHeight="1" x14ac:dyDescent="0.3">
      <c r="A620" s="170"/>
      <c r="B620" s="171"/>
      <c r="C620" s="172"/>
      <c r="D620" s="16" t="s">
        <v>360</v>
      </c>
      <c r="E620" s="25"/>
      <c r="F620" s="26"/>
      <c r="G620" s="175"/>
      <c r="H620" s="176"/>
      <c r="J620" s="133"/>
      <c r="K620" s="138"/>
      <c r="L620" s="133"/>
      <c r="M620" s="139"/>
    </row>
    <row r="621" spans="1:13" s="4" customFormat="1" ht="35.1" customHeight="1" x14ac:dyDescent="0.3">
      <c r="A621" s="170"/>
      <c r="B621" s="171"/>
      <c r="C621" s="172"/>
      <c r="D621" s="16" t="s">
        <v>783</v>
      </c>
      <c r="E621" s="65">
        <f>(0.1+0.1)*1*3.5</f>
        <v>0.70000000000000007</v>
      </c>
      <c r="F621" s="74" t="s">
        <v>17</v>
      </c>
      <c r="G621" s="175"/>
      <c r="H621" s="176"/>
      <c r="J621" s="133"/>
      <c r="K621" s="138"/>
      <c r="L621" s="133"/>
      <c r="M621" s="139"/>
    </row>
    <row r="622" spans="1:13" s="4" customFormat="1" ht="35.1" customHeight="1" x14ac:dyDescent="0.3">
      <c r="A622" s="170"/>
      <c r="B622" s="171"/>
      <c r="C622" s="172"/>
      <c r="D622" s="16" t="s">
        <v>784</v>
      </c>
      <c r="E622" s="65">
        <f>(0.1+0.1)*1*2.5</f>
        <v>0.5</v>
      </c>
      <c r="F622" s="74" t="s">
        <v>17</v>
      </c>
      <c r="G622" s="175"/>
      <c r="H622" s="176"/>
      <c r="J622" s="133"/>
      <c r="K622" s="138"/>
      <c r="L622" s="133"/>
      <c r="M622" s="139"/>
    </row>
    <row r="623" spans="1:13" s="4" customFormat="1" ht="35.1" customHeight="1" x14ac:dyDescent="0.3">
      <c r="A623" s="170"/>
      <c r="B623" s="171"/>
      <c r="C623" s="172"/>
      <c r="D623" s="16" t="s">
        <v>785</v>
      </c>
      <c r="E623" s="65">
        <f t="shared" ref="E623" si="38">(0.1+0.1)*1*3.5</f>
        <v>0.70000000000000007</v>
      </c>
      <c r="F623" s="74" t="s">
        <v>17</v>
      </c>
      <c r="G623" s="175"/>
      <c r="H623" s="176"/>
      <c r="J623" s="133"/>
      <c r="K623" s="138"/>
      <c r="L623" s="133"/>
      <c r="M623" s="139"/>
    </row>
    <row r="624" spans="1:13" s="4" customFormat="1" ht="35.1" customHeight="1" x14ac:dyDescent="0.3">
      <c r="A624" s="170"/>
      <c r="B624" s="171"/>
      <c r="C624" s="172"/>
      <c r="D624" s="16" t="s">
        <v>786</v>
      </c>
      <c r="E624" s="65">
        <f t="shared" ref="E624" si="39">(0.1+0.1)*1*2.5</f>
        <v>0.5</v>
      </c>
      <c r="F624" s="74" t="s">
        <v>17</v>
      </c>
      <c r="G624" s="175"/>
      <c r="H624" s="176"/>
      <c r="J624" s="133"/>
      <c r="K624" s="138"/>
      <c r="L624" s="133"/>
      <c r="M624" s="139"/>
    </row>
    <row r="625" spans="1:13" s="4" customFormat="1" ht="35.1" customHeight="1" x14ac:dyDescent="0.3">
      <c r="A625" s="170"/>
      <c r="B625" s="171"/>
      <c r="C625" s="172"/>
      <c r="D625" s="16" t="s">
        <v>787</v>
      </c>
      <c r="E625" s="65">
        <f t="shared" ref="E625" si="40">(0.1+0.1)*1*3.5</f>
        <v>0.70000000000000007</v>
      </c>
      <c r="F625" s="74" t="s">
        <v>17</v>
      </c>
      <c r="G625" s="175"/>
      <c r="H625" s="176"/>
      <c r="J625" s="133"/>
      <c r="K625" s="138"/>
      <c r="L625" s="133"/>
      <c r="M625" s="139"/>
    </row>
    <row r="626" spans="1:13" s="4" customFormat="1" ht="35.1" customHeight="1" x14ac:dyDescent="0.3">
      <c r="A626" s="170"/>
      <c r="B626" s="171"/>
      <c r="C626" s="172"/>
      <c r="D626" s="16" t="s">
        <v>788</v>
      </c>
      <c r="E626" s="65">
        <f t="shared" ref="E626" si="41">(0.1+0.1)*1*2.5</f>
        <v>0.5</v>
      </c>
      <c r="F626" s="74" t="s">
        <v>17</v>
      </c>
      <c r="G626" s="175"/>
      <c r="H626" s="176"/>
      <c r="J626" s="133"/>
      <c r="K626" s="138"/>
      <c r="L626" s="133"/>
      <c r="M626" s="139"/>
    </row>
    <row r="627" spans="1:13" s="4" customFormat="1" ht="35.1" customHeight="1" x14ac:dyDescent="0.3">
      <c r="A627" s="170"/>
      <c r="B627" s="171"/>
      <c r="C627" s="172"/>
      <c r="D627" s="16" t="s">
        <v>789</v>
      </c>
      <c r="E627" s="65">
        <f t="shared" ref="E627" si="42">(0.1+0.1)*1*3.5</f>
        <v>0.70000000000000007</v>
      </c>
      <c r="F627" s="74" t="s">
        <v>17</v>
      </c>
      <c r="G627" s="175"/>
      <c r="H627" s="176"/>
      <c r="J627" s="133"/>
      <c r="K627" s="138"/>
      <c r="L627" s="133"/>
      <c r="M627" s="139"/>
    </row>
    <row r="628" spans="1:13" s="4" customFormat="1" ht="35.1" customHeight="1" x14ac:dyDescent="0.3">
      <c r="A628" s="170"/>
      <c r="B628" s="171"/>
      <c r="C628" s="172"/>
      <c r="D628" s="16" t="s">
        <v>790</v>
      </c>
      <c r="E628" s="65">
        <f t="shared" ref="E628" si="43">(0.1+0.1)*1*2.5</f>
        <v>0.5</v>
      </c>
      <c r="F628" s="74" t="s">
        <v>17</v>
      </c>
      <c r="G628" s="175"/>
      <c r="H628" s="176"/>
      <c r="J628" s="133"/>
      <c r="K628" s="138"/>
      <c r="L628" s="133"/>
      <c r="M628" s="139"/>
    </row>
    <row r="629" spans="1:13" s="4" customFormat="1" ht="35.1" customHeight="1" x14ac:dyDescent="0.3">
      <c r="A629" s="170"/>
      <c r="B629" s="171"/>
      <c r="C629" s="172"/>
      <c r="D629" s="16" t="s">
        <v>791</v>
      </c>
      <c r="E629" s="65">
        <f t="shared" ref="E629:E637" si="44">(0.1+0.1)*1*3.5</f>
        <v>0.70000000000000007</v>
      </c>
      <c r="F629" s="74" t="s">
        <v>17</v>
      </c>
      <c r="G629" s="175"/>
      <c r="H629" s="176"/>
      <c r="J629" s="133"/>
      <c r="K629" s="138"/>
      <c r="L629" s="133"/>
      <c r="M629" s="139"/>
    </row>
    <row r="630" spans="1:13" s="4" customFormat="1" ht="35.1" customHeight="1" x14ac:dyDescent="0.3">
      <c r="A630" s="170"/>
      <c r="B630" s="171"/>
      <c r="C630" s="172"/>
      <c r="D630" s="16" t="s">
        <v>792</v>
      </c>
      <c r="E630" s="65">
        <f t="shared" ref="E630:E638" si="45">(0.1+0.1)*1*2.5</f>
        <v>0.5</v>
      </c>
      <c r="F630" s="74" t="s">
        <v>17</v>
      </c>
      <c r="G630" s="175"/>
      <c r="H630" s="176"/>
      <c r="J630" s="133"/>
      <c r="K630" s="138"/>
      <c r="L630" s="133"/>
      <c r="M630" s="139"/>
    </row>
    <row r="631" spans="1:13" s="4" customFormat="1" ht="35.1" customHeight="1" x14ac:dyDescent="0.3">
      <c r="A631" s="170"/>
      <c r="B631" s="171"/>
      <c r="C631" s="172"/>
      <c r="D631" s="16" t="s">
        <v>793</v>
      </c>
      <c r="E631" s="65">
        <f t="shared" si="44"/>
        <v>0.70000000000000007</v>
      </c>
      <c r="F631" s="74" t="s">
        <v>17</v>
      </c>
      <c r="G631" s="175"/>
      <c r="H631" s="176"/>
      <c r="J631" s="133"/>
      <c r="K631" s="138"/>
      <c r="L631" s="133"/>
      <c r="M631" s="139"/>
    </row>
    <row r="632" spans="1:13" s="4" customFormat="1" ht="35.1" customHeight="1" x14ac:dyDescent="0.3">
      <c r="A632" s="170"/>
      <c r="B632" s="171"/>
      <c r="C632" s="172"/>
      <c r="D632" s="16" t="s">
        <v>794</v>
      </c>
      <c r="E632" s="65">
        <f t="shared" si="45"/>
        <v>0.5</v>
      </c>
      <c r="F632" s="74" t="s">
        <v>17</v>
      </c>
      <c r="G632" s="175"/>
      <c r="H632" s="176"/>
      <c r="J632" s="133"/>
      <c r="K632" s="138"/>
      <c r="L632" s="133"/>
      <c r="M632" s="139"/>
    </row>
    <row r="633" spans="1:13" s="4" customFormat="1" ht="35.1" customHeight="1" x14ac:dyDescent="0.3">
      <c r="A633" s="170"/>
      <c r="B633" s="171"/>
      <c r="C633" s="172"/>
      <c r="D633" s="16" t="s">
        <v>795</v>
      </c>
      <c r="E633" s="65">
        <f t="shared" si="44"/>
        <v>0.70000000000000007</v>
      </c>
      <c r="F633" s="74" t="s">
        <v>17</v>
      </c>
      <c r="G633" s="175"/>
      <c r="H633" s="176"/>
      <c r="J633" s="133"/>
      <c r="K633" s="138"/>
      <c r="L633" s="133"/>
      <c r="M633" s="139"/>
    </row>
    <row r="634" spans="1:13" s="4" customFormat="1" ht="35.1" customHeight="1" x14ac:dyDescent="0.3">
      <c r="A634" s="170"/>
      <c r="B634" s="171"/>
      <c r="C634" s="172"/>
      <c r="D634" s="16" t="s">
        <v>796</v>
      </c>
      <c r="E634" s="65">
        <f t="shared" si="45"/>
        <v>0.5</v>
      </c>
      <c r="F634" s="74" t="s">
        <v>17</v>
      </c>
      <c r="G634" s="175"/>
      <c r="H634" s="176"/>
      <c r="J634" s="133"/>
      <c r="K634" s="138"/>
      <c r="L634" s="133"/>
      <c r="M634" s="139"/>
    </row>
    <row r="635" spans="1:13" s="4" customFormat="1" ht="35.1" customHeight="1" x14ac:dyDescent="0.3">
      <c r="A635" s="170"/>
      <c r="B635" s="171"/>
      <c r="C635" s="172"/>
      <c r="D635" s="16" t="s">
        <v>797</v>
      </c>
      <c r="E635" s="65">
        <f t="shared" si="44"/>
        <v>0.70000000000000007</v>
      </c>
      <c r="F635" s="74" t="s">
        <v>17</v>
      </c>
      <c r="G635" s="175"/>
      <c r="H635" s="176"/>
      <c r="J635" s="133"/>
      <c r="K635" s="138"/>
      <c r="L635" s="133"/>
      <c r="M635" s="139"/>
    </row>
    <row r="636" spans="1:13" s="4" customFormat="1" ht="35.1" customHeight="1" x14ac:dyDescent="0.3">
      <c r="A636" s="170"/>
      <c r="B636" s="171"/>
      <c r="C636" s="172"/>
      <c r="D636" s="16" t="s">
        <v>798</v>
      </c>
      <c r="E636" s="65">
        <f t="shared" si="45"/>
        <v>0.5</v>
      </c>
      <c r="F636" s="74" t="s">
        <v>17</v>
      </c>
      <c r="G636" s="175"/>
      <c r="H636" s="176"/>
      <c r="J636" s="133"/>
      <c r="K636" s="138"/>
      <c r="L636" s="133"/>
      <c r="M636" s="139"/>
    </row>
    <row r="637" spans="1:13" s="4" customFormat="1" ht="35.1" customHeight="1" x14ac:dyDescent="0.3">
      <c r="A637" s="170"/>
      <c r="B637" s="171"/>
      <c r="C637" s="172"/>
      <c r="D637" s="16" t="s">
        <v>799</v>
      </c>
      <c r="E637" s="65">
        <f t="shared" si="44"/>
        <v>0.70000000000000007</v>
      </c>
      <c r="F637" s="74" t="s">
        <v>17</v>
      </c>
      <c r="G637" s="175"/>
      <c r="H637" s="176"/>
      <c r="J637" s="133"/>
      <c r="K637" s="138"/>
      <c r="L637" s="133"/>
      <c r="M637" s="139"/>
    </row>
    <row r="638" spans="1:13" s="4" customFormat="1" ht="35.1" customHeight="1" x14ac:dyDescent="0.3">
      <c r="A638" s="170"/>
      <c r="B638" s="171"/>
      <c r="C638" s="172"/>
      <c r="D638" s="16" t="s">
        <v>800</v>
      </c>
      <c r="E638" s="65">
        <f t="shared" si="45"/>
        <v>0.5</v>
      </c>
      <c r="F638" s="74" t="s">
        <v>17</v>
      </c>
      <c r="G638" s="175"/>
      <c r="H638" s="176"/>
      <c r="J638" s="133"/>
      <c r="K638" s="138"/>
      <c r="L638" s="133"/>
      <c r="M638" s="139"/>
    </row>
    <row r="639" spans="1:13" s="4" customFormat="1" ht="35.1" customHeight="1" x14ac:dyDescent="0.3">
      <c r="A639" s="170"/>
      <c r="B639" s="171"/>
      <c r="C639" s="172"/>
      <c r="D639" s="16" t="s">
        <v>426</v>
      </c>
      <c r="E639" s="65">
        <f>(1.5-0.4)*1*3.5*0</f>
        <v>0</v>
      </c>
      <c r="F639" s="74" t="s">
        <v>17</v>
      </c>
      <c r="G639" s="175"/>
      <c r="H639" s="176"/>
      <c r="J639" s="133"/>
      <c r="K639" s="138"/>
      <c r="L639" s="133"/>
      <c r="M639" s="139"/>
    </row>
    <row r="640" spans="1:13" s="4" customFormat="1" ht="35.1" customHeight="1" x14ac:dyDescent="0.3">
      <c r="A640" s="170"/>
      <c r="B640" s="171"/>
      <c r="C640" s="172"/>
      <c r="D640" s="243" t="s">
        <v>365</v>
      </c>
      <c r="E640" s="244">
        <f>SUM(E621:E639)</f>
        <v>10.8</v>
      </c>
      <c r="F640" s="245" t="s">
        <v>17</v>
      </c>
      <c r="G640" s="175"/>
      <c r="H640" s="176"/>
      <c r="J640" s="133"/>
      <c r="K640" s="138"/>
      <c r="L640" s="133"/>
      <c r="M640" s="139"/>
    </row>
    <row r="641" spans="1:13" s="4" customFormat="1" ht="35.1" customHeight="1" x14ac:dyDescent="0.3">
      <c r="A641" s="170"/>
      <c r="B641" s="171"/>
      <c r="C641" s="172"/>
      <c r="D641" s="243" t="s">
        <v>366</v>
      </c>
      <c r="E641" s="244">
        <f>E597+E618+E640</f>
        <v>34.200000000000003</v>
      </c>
      <c r="F641" s="245" t="s">
        <v>17</v>
      </c>
      <c r="G641" s="175"/>
      <c r="H641" s="176"/>
      <c r="J641" s="133"/>
      <c r="K641" s="138"/>
      <c r="L641" s="133"/>
      <c r="M641" s="139"/>
    </row>
    <row r="642" spans="1:13" s="4" customFormat="1" ht="35.1" customHeight="1" x14ac:dyDescent="0.3">
      <c r="A642" s="170"/>
      <c r="B642" s="171"/>
      <c r="C642" s="172"/>
      <c r="D642" s="90"/>
      <c r="E642" s="91"/>
      <c r="F642" s="92"/>
      <c r="G642" s="175"/>
      <c r="H642" s="176"/>
      <c r="J642" s="133"/>
      <c r="K642" s="138"/>
      <c r="L642" s="133"/>
      <c r="M642" s="139"/>
    </row>
    <row r="643" spans="1:13" s="4" customFormat="1" ht="35.1" customHeight="1" x14ac:dyDescent="0.3">
      <c r="A643" s="170"/>
      <c r="B643" s="171"/>
      <c r="C643" s="172"/>
      <c r="D643" s="24" t="s">
        <v>372</v>
      </c>
      <c r="E643" s="25"/>
      <c r="F643" s="26"/>
      <c r="G643" s="175"/>
      <c r="H643" s="176"/>
      <c r="J643" s="133"/>
      <c r="K643" s="138"/>
      <c r="L643" s="133"/>
      <c r="M643" s="139"/>
    </row>
    <row r="644" spans="1:13" s="4" customFormat="1" ht="35.1" customHeight="1" x14ac:dyDescent="0.3">
      <c r="A644" s="170"/>
      <c r="B644" s="171"/>
      <c r="C644" s="172"/>
      <c r="D644" s="24" t="s">
        <v>711</v>
      </c>
      <c r="E644" s="25">
        <f>2*(0.1+0.1)*2*2</f>
        <v>1.6</v>
      </c>
      <c r="F644" s="26" t="s">
        <v>17</v>
      </c>
      <c r="G644" s="175"/>
      <c r="H644" s="176"/>
      <c r="J644" s="133"/>
      <c r="K644" s="138"/>
      <c r="L644" s="133"/>
      <c r="M644" s="139"/>
    </row>
    <row r="645" spans="1:13" s="4" customFormat="1" ht="35.1" customHeight="1" x14ac:dyDescent="0.3">
      <c r="A645" s="170"/>
      <c r="B645" s="171"/>
      <c r="C645" s="172"/>
      <c r="D645" s="24" t="s">
        <v>712</v>
      </c>
      <c r="E645" s="25">
        <f>1*(0.1+0.1)*1*1</f>
        <v>0.2</v>
      </c>
      <c r="F645" s="26" t="s">
        <v>17</v>
      </c>
      <c r="G645" s="175"/>
      <c r="H645" s="176"/>
      <c r="J645" s="133"/>
      <c r="K645" s="138"/>
      <c r="L645" s="133"/>
      <c r="M645" s="139"/>
    </row>
    <row r="646" spans="1:13" s="4" customFormat="1" ht="35.1" customHeight="1" x14ac:dyDescent="0.3">
      <c r="A646" s="170"/>
      <c r="B646" s="171"/>
      <c r="C646" s="172"/>
      <c r="D646" s="243" t="s">
        <v>485</v>
      </c>
      <c r="E646" s="244">
        <f>SUM(E644:E645)</f>
        <v>1.8</v>
      </c>
      <c r="F646" s="245" t="s">
        <v>17</v>
      </c>
      <c r="G646" s="175"/>
      <c r="H646" s="176"/>
      <c r="J646" s="133"/>
      <c r="K646" s="138"/>
      <c r="L646" s="133"/>
      <c r="M646" s="139"/>
    </row>
    <row r="647" spans="1:13" s="4" customFormat="1" ht="35.1" customHeight="1" x14ac:dyDescent="0.3">
      <c r="A647" s="170"/>
      <c r="B647" s="171"/>
      <c r="C647" s="172"/>
      <c r="D647" s="243" t="s">
        <v>18</v>
      </c>
      <c r="E647" s="244">
        <f>E646+E641+E593</f>
        <v>99.4</v>
      </c>
      <c r="F647" s="245" t="s">
        <v>17</v>
      </c>
      <c r="G647" s="175"/>
      <c r="H647" s="176"/>
      <c r="J647" s="133"/>
      <c r="K647" s="138"/>
      <c r="L647" s="133"/>
      <c r="M647" s="139"/>
    </row>
    <row r="648" spans="1:13" s="4" customFormat="1" ht="35.1" customHeight="1" x14ac:dyDescent="0.3">
      <c r="A648" s="170"/>
      <c r="B648" s="171"/>
      <c r="C648" s="172"/>
      <c r="D648" s="173"/>
      <c r="E648" s="174"/>
      <c r="F648" s="173"/>
      <c r="G648" s="175"/>
      <c r="H648" s="176"/>
      <c r="J648" s="133"/>
      <c r="K648" s="138"/>
      <c r="L648" s="133"/>
      <c r="M648" s="139"/>
    </row>
    <row r="649" spans="1:13" s="71" customFormat="1" ht="35.1" customHeight="1" x14ac:dyDescent="0.2">
      <c r="A649" s="66"/>
      <c r="B649" s="67" t="s">
        <v>3</v>
      </c>
      <c r="C649" s="67" t="s">
        <v>14</v>
      </c>
      <c r="D649" s="67" t="s">
        <v>154</v>
      </c>
      <c r="E649" s="68"/>
      <c r="F649" s="67"/>
      <c r="G649" s="69"/>
      <c r="H649" s="70">
        <f>SUM(H526:H526)</f>
        <v>0</v>
      </c>
      <c r="J649" s="130"/>
      <c r="K649" s="138"/>
      <c r="L649" s="130"/>
      <c r="M649" s="132"/>
    </row>
    <row r="650" spans="1:13" s="71" customFormat="1" ht="35.1" customHeight="1" x14ac:dyDescent="0.2">
      <c r="A650" s="66"/>
      <c r="B650" s="67"/>
      <c r="C650" s="67"/>
      <c r="D650" s="67"/>
      <c r="E650" s="68"/>
      <c r="F650" s="67"/>
      <c r="G650" s="69"/>
      <c r="H650" s="70"/>
      <c r="J650" s="130"/>
      <c r="K650" s="138"/>
      <c r="L650" s="130"/>
      <c r="M650" s="132"/>
    </row>
    <row r="651" spans="1:13" s="71" customFormat="1" ht="35.1" customHeight="1" x14ac:dyDescent="0.2">
      <c r="A651" s="66"/>
      <c r="B651" s="67" t="s">
        <v>3</v>
      </c>
      <c r="C651" s="67" t="s">
        <v>19</v>
      </c>
      <c r="D651" s="67" t="s">
        <v>57</v>
      </c>
      <c r="E651" s="68"/>
      <c r="F651" s="67"/>
      <c r="G651" s="69"/>
      <c r="H651" s="70"/>
      <c r="J651" s="130"/>
      <c r="K651" s="138"/>
      <c r="L651" s="130"/>
      <c r="M651" s="132"/>
    </row>
    <row r="652" spans="1:13" s="177" customFormat="1" ht="35.1" customHeight="1" x14ac:dyDescent="0.3">
      <c r="A652" s="287">
        <v>24</v>
      </c>
      <c r="B652" s="278" t="s">
        <v>12</v>
      </c>
      <c r="C652" s="186" t="s">
        <v>58</v>
      </c>
      <c r="D652" s="193" t="s">
        <v>59</v>
      </c>
      <c r="E652" s="197">
        <f>E653</f>
        <v>348.5</v>
      </c>
      <c r="F652" s="299" t="s">
        <v>13</v>
      </c>
      <c r="G652" s="19"/>
      <c r="H652" s="20">
        <f>E652*G652</f>
        <v>0</v>
      </c>
      <c r="J652" s="178">
        <v>0.51085999999999998</v>
      </c>
      <c r="K652" s="280">
        <f t="shared" si="34"/>
        <v>178.03470999999999</v>
      </c>
      <c r="L652" s="178">
        <v>0</v>
      </c>
      <c r="M652" s="179" t="e">
        <f>L652*#REF!</f>
        <v>#REF!</v>
      </c>
    </row>
    <row r="653" spans="1:13" s="177" customFormat="1" ht="35.1" customHeight="1" x14ac:dyDescent="0.3">
      <c r="A653" s="287"/>
      <c r="B653" s="278"/>
      <c r="C653" s="182"/>
      <c r="D653" s="193" t="s">
        <v>899</v>
      </c>
      <c r="E653" s="197">
        <f>E16</f>
        <v>348.5</v>
      </c>
      <c r="F653" s="299" t="s">
        <v>13</v>
      </c>
      <c r="G653" s="19"/>
      <c r="H653" s="20"/>
      <c r="J653" s="178"/>
      <c r="K653" s="280"/>
      <c r="L653" s="178"/>
      <c r="M653" s="179"/>
    </row>
    <row r="654" spans="1:13" s="189" customFormat="1" ht="35.1" customHeight="1" x14ac:dyDescent="0.3">
      <c r="A654" s="180"/>
      <c r="B654" s="181"/>
      <c r="C654" s="182"/>
      <c r="D654" s="183"/>
      <c r="E654" s="187"/>
      <c r="F654" s="188"/>
      <c r="G654" s="27"/>
      <c r="H654" s="20"/>
      <c r="J654" s="190"/>
      <c r="K654" s="280"/>
      <c r="L654" s="190"/>
      <c r="M654" s="300"/>
    </row>
    <row r="655" spans="1:13" s="177" customFormat="1" ht="35.1" customHeight="1" x14ac:dyDescent="0.3">
      <c r="A655" s="287">
        <v>25</v>
      </c>
      <c r="B655" s="278" t="s">
        <v>12</v>
      </c>
      <c r="C655" s="186" t="s">
        <v>60</v>
      </c>
      <c r="D655" s="193" t="s">
        <v>61</v>
      </c>
      <c r="E655" s="197">
        <f>E652</f>
        <v>348.5</v>
      </c>
      <c r="F655" s="299" t="s">
        <v>13</v>
      </c>
      <c r="G655" s="19"/>
      <c r="H655" s="20">
        <f>E655*G655</f>
        <v>0</v>
      </c>
      <c r="J655" s="178">
        <v>0.27994000000000002</v>
      </c>
      <c r="K655" s="280">
        <f t="shared" si="34"/>
        <v>97.559090000000012</v>
      </c>
      <c r="L655" s="178">
        <v>0</v>
      </c>
      <c r="M655" s="179" t="e">
        <f>L655*#REF!</f>
        <v>#REF!</v>
      </c>
    </row>
    <row r="656" spans="1:13" s="177" customFormat="1" ht="35.1" customHeight="1" x14ac:dyDescent="0.3">
      <c r="A656" s="287"/>
      <c r="B656" s="278"/>
      <c r="C656" s="186"/>
      <c r="D656" s="193"/>
      <c r="E656" s="197"/>
      <c r="F656" s="299"/>
      <c r="G656" s="19"/>
      <c r="H656" s="20"/>
      <c r="J656" s="178"/>
      <c r="K656" s="280"/>
      <c r="L656" s="178"/>
      <c r="M656" s="179"/>
    </row>
    <row r="657" spans="1:13" s="189" customFormat="1" ht="35.1" customHeight="1" x14ac:dyDescent="0.3">
      <c r="A657" s="180"/>
      <c r="B657" s="181"/>
      <c r="C657" s="182"/>
      <c r="D657" s="183"/>
      <c r="E657" s="187"/>
      <c r="F657" s="188"/>
      <c r="G657" s="27"/>
      <c r="H657" s="20"/>
      <c r="J657" s="190"/>
      <c r="K657" s="280"/>
      <c r="L657" s="190"/>
      <c r="M657" s="300"/>
    </row>
    <row r="658" spans="1:13" s="177" customFormat="1" ht="35.1" customHeight="1" x14ac:dyDescent="0.3">
      <c r="A658" s="287">
        <v>26</v>
      </c>
      <c r="B658" s="278" t="s">
        <v>12</v>
      </c>
      <c r="C658" s="186" t="s">
        <v>270</v>
      </c>
      <c r="D658" s="193" t="s">
        <v>269</v>
      </c>
      <c r="E658" s="197">
        <f>E652</f>
        <v>348.5</v>
      </c>
      <c r="F658" s="299" t="s">
        <v>13</v>
      </c>
      <c r="G658" s="19"/>
      <c r="H658" s="20">
        <f>E658*G658</f>
        <v>0</v>
      </c>
      <c r="J658" s="178">
        <v>0.13188</v>
      </c>
      <c r="K658" s="280">
        <f t="shared" ref="K658:K704" si="46">E658*J658</f>
        <v>45.960180000000001</v>
      </c>
      <c r="L658" s="178">
        <v>0</v>
      </c>
      <c r="M658" s="179" t="e">
        <f>L658*#REF!</f>
        <v>#REF!</v>
      </c>
    </row>
    <row r="659" spans="1:13" s="307" customFormat="1" ht="35.1" customHeight="1" x14ac:dyDescent="0.3">
      <c r="A659" s="301"/>
      <c r="B659" s="302"/>
      <c r="C659" s="303"/>
      <c r="D659" s="304"/>
      <c r="E659" s="305"/>
      <c r="F659" s="306"/>
      <c r="G659" s="105"/>
      <c r="H659" s="20"/>
      <c r="J659" s="308"/>
      <c r="K659" s="280"/>
      <c r="L659" s="308"/>
      <c r="M659" s="300"/>
    </row>
    <row r="660" spans="1:13" s="177" customFormat="1" ht="35.1" customHeight="1" x14ac:dyDescent="0.3">
      <c r="A660" s="287">
        <v>27</v>
      </c>
      <c r="B660" s="278" t="s">
        <v>12</v>
      </c>
      <c r="C660" s="186" t="s">
        <v>900</v>
      </c>
      <c r="D660" s="193" t="s">
        <v>901</v>
      </c>
      <c r="E660" s="197">
        <f>E652</f>
        <v>348.5</v>
      </c>
      <c r="F660" s="299" t="s">
        <v>13</v>
      </c>
      <c r="G660" s="19"/>
      <c r="H660" s="20">
        <f>E660*G660</f>
        <v>0</v>
      </c>
      <c r="J660" s="178"/>
      <c r="K660" s="280"/>
      <c r="L660" s="178"/>
      <c r="M660" s="179"/>
    </row>
    <row r="661" spans="1:13" s="307" customFormat="1" ht="35.1" customHeight="1" x14ac:dyDescent="0.3">
      <c r="A661" s="301"/>
      <c r="B661" s="302"/>
      <c r="C661" s="303"/>
      <c r="D661" s="304"/>
      <c r="E661" s="305"/>
      <c r="F661" s="306"/>
      <c r="G661" s="105"/>
      <c r="H661" s="20"/>
      <c r="J661" s="308"/>
      <c r="K661" s="280"/>
      <c r="L661" s="308"/>
      <c r="M661" s="300"/>
    </row>
    <row r="662" spans="1:13" s="177" customFormat="1" ht="35.1" customHeight="1" x14ac:dyDescent="0.3">
      <c r="A662" s="287">
        <v>28</v>
      </c>
      <c r="B662" s="278" t="s">
        <v>12</v>
      </c>
      <c r="C662" s="186" t="s">
        <v>348</v>
      </c>
      <c r="D662" s="193" t="s">
        <v>349</v>
      </c>
      <c r="E662" s="197">
        <f>E652</f>
        <v>348.5</v>
      </c>
      <c r="F662" s="299" t="s">
        <v>13</v>
      </c>
      <c r="G662" s="19"/>
      <c r="H662" s="20">
        <f>E662*G662</f>
        <v>0</v>
      </c>
      <c r="J662" s="178">
        <v>7.1000000000000002E-4</v>
      </c>
      <c r="K662" s="280">
        <f t="shared" ref="K662" si="47">E662*J662</f>
        <v>0.24743500000000002</v>
      </c>
      <c r="L662" s="178">
        <f>0</f>
        <v>0</v>
      </c>
      <c r="M662" s="179" t="e">
        <f>L662*#REF!</f>
        <v>#REF!</v>
      </c>
    </row>
    <row r="663" spans="1:13" s="307" customFormat="1" ht="35.1" customHeight="1" x14ac:dyDescent="0.3">
      <c r="A663" s="301"/>
      <c r="B663" s="302"/>
      <c r="C663" s="303"/>
      <c r="D663" s="304"/>
      <c r="E663" s="305"/>
      <c r="F663" s="306"/>
      <c r="G663" s="105"/>
      <c r="H663" s="20"/>
      <c r="J663" s="308"/>
      <c r="K663" s="280"/>
      <c r="L663" s="308"/>
      <c r="M663" s="300"/>
    </row>
    <row r="664" spans="1:13" s="307" customFormat="1" ht="35.1" customHeight="1" x14ac:dyDescent="0.3">
      <c r="A664" s="287">
        <v>29</v>
      </c>
      <c r="B664" s="278" t="s">
        <v>12</v>
      </c>
      <c r="C664" s="186" t="s">
        <v>350</v>
      </c>
      <c r="D664" s="193" t="s">
        <v>351</v>
      </c>
      <c r="E664" s="197">
        <f>E652</f>
        <v>348.5</v>
      </c>
      <c r="F664" s="299" t="s">
        <v>13</v>
      </c>
      <c r="G664" s="19"/>
      <c r="H664" s="20">
        <f>E664*G664</f>
        <v>0</v>
      </c>
      <c r="J664" s="308"/>
      <c r="K664" s="280"/>
      <c r="L664" s="308"/>
      <c r="M664" s="300"/>
    </row>
    <row r="665" spans="1:13" s="307" customFormat="1" ht="35.1" customHeight="1" x14ac:dyDescent="0.3">
      <c r="A665" s="301"/>
      <c r="B665" s="302"/>
      <c r="C665" s="303"/>
      <c r="D665" s="304"/>
      <c r="E665" s="305"/>
      <c r="F665" s="306"/>
      <c r="G665" s="105"/>
      <c r="H665" s="20"/>
      <c r="J665" s="308"/>
      <c r="K665" s="280"/>
      <c r="L665" s="308"/>
      <c r="M665" s="300"/>
    </row>
    <row r="666" spans="1:13" s="177" customFormat="1" ht="35.1" customHeight="1" x14ac:dyDescent="0.3">
      <c r="A666" s="287">
        <v>30</v>
      </c>
      <c r="B666" s="278" t="s">
        <v>12</v>
      </c>
      <c r="C666" s="186" t="s">
        <v>271</v>
      </c>
      <c r="D666" s="193" t="s">
        <v>272</v>
      </c>
      <c r="E666" s="197">
        <f>E652</f>
        <v>348.5</v>
      </c>
      <c r="F666" s="299" t="s">
        <v>13</v>
      </c>
      <c r="G666" s="19"/>
      <c r="H666" s="20">
        <f>E666*G666</f>
        <v>0</v>
      </c>
      <c r="J666" s="178">
        <v>0.15559000000000001</v>
      </c>
      <c r="K666" s="280">
        <f t="shared" si="46"/>
        <v>54.223115</v>
      </c>
      <c r="L666" s="178">
        <v>0</v>
      </c>
      <c r="M666" s="179" t="e">
        <f>L666*#REF!</f>
        <v>#REF!</v>
      </c>
    </row>
    <row r="667" spans="1:13" s="71" customFormat="1" ht="35.1" customHeight="1" x14ac:dyDescent="0.2">
      <c r="A667" s="66"/>
      <c r="B667" s="67" t="s">
        <v>3</v>
      </c>
      <c r="C667" s="67" t="s">
        <v>19</v>
      </c>
      <c r="D667" s="67" t="s">
        <v>155</v>
      </c>
      <c r="E667" s="68"/>
      <c r="F667" s="67"/>
      <c r="G667" s="69"/>
      <c r="H667" s="70">
        <f>SUM(H652:H666)</f>
        <v>0</v>
      </c>
      <c r="J667" s="130"/>
      <c r="K667" s="138"/>
      <c r="L667" s="130"/>
      <c r="M667" s="132"/>
    </row>
    <row r="668" spans="1:13" s="71" customFormat="1" ht="35.1" customHeight="1" x14ac:dyDescent="0.2">
      <c r="A668" s="66"/>
      <c r="B668" s="67"/>
      <c r="C668" s="67"/>
      <c r="D668" s="67"/>
      <c r="E668" s="68"/>
      <c r="F668" s="67"/>
      <c r="G668" s="69"/>
      <c r="H668" s="70"/>
      <c r="J668" s="130"/>
      <c r="K668" s="138"/>
      <c r="L668" s="130"/>
      <c r="M668" s="132"/>
    </row>
    <row r="669" spans="1:13" s="71" customFormat="1" ht="35.1" customHeight="1" x14ac:dyDescent="0.2">
      <c r="A669" s="66"/>
      <c r="B669" s="67" t="s">
        <v>3</v>
      </c>
      <c r="C669" s="67" t="s">
        <v>22</v>
      </c>
      <c r="D669" s="67" t="s">
        <v>62</v>
      </c>
      <c r="E669" s="68"/>
      <c r="F669" s="67"/>
      <c r="G669" s="69"/>
      <c r="H669" s="70"/>
      <c r="J669" s="130"/>
      <c r="K669" s="138"/>
      <c r="L669" s="130"/>
      <c r="M669" s="132"/>
    </row>
    <row r="670" spans="1:13" s="4" customFormat="1" ht="35.1" customHeight="1" x14ac:dyDescent="0.3">
      <c r="A670" s="13">
        <v>31</v>
      </c>
      <c r="B670" s="14" t="s">
        <v>12</v>
      </c>
      <c r="C670" s="15" t="s">
        <v>63</v>
      </c>
      <c r="D670" s="16" t="s">
        <v>902</v>
      </c>
      <c r="E670" s="17">
        <v>110</v>
      </c>
      <c r="F670" s="18" t="s">
        <v>64</v>
      </c>
      <c r="G670" s="19"/>
      <c r="H670" s="20">
        <f>E670*G670</f>
        <v>0</v>
      </c>
      <c r="J670" s="133">
        <v>0</v>
      </c>
      <c r="K670" s="138">
        <f t="shared" si="46"/>
        <v>0</v>
      </c>
      <c r="L670" s="133">
        <v>3.065E-2</v>
      </c>
      <c r="M670" s="139" t="e">
        <f>L670*#REF!</f>
        <v>#REF!</v>
      </c>
    </row>
    <row r="671" spans="1:13" s="29" customFormat="1" ht="35.1" customHeight="1" x14ac:dyDescent="0.3">
      <c r="A671" s="21"/>
      <c r="B671" s="22"/>
      <c r="C671" s="23"/>
      <c r="D671" s="24"/>
      <c r="E671" s="25"/>
      <c r="F671" s="26"/>
      <c r="G671" s="27"/>
      <c r="H671" s="20"/>
      <c r="J671" s="134"/>
      <c r="K671" s="138"/>
      <c r="L671" s="134"/>
      <c r="M671" s="139"/>
    </row>
    <row r="672" spans="1:13" s="4" customFormat="1" ht="35.1" customHeight="1" x14ac:dyDescent="0.3">
      <c r="A672" s="13">
        <v>32</v>
      </c>
      <c r="B672" s="14" t="s">
        <v>12</v>
      </c>
      <c r="C672" s="15" t="s">
        <v>65</v>
      </c>
      <c r="D672" s="16" t="s">
        <v>66</v>
      </c>
      <c r="E672" s="17">
        <v>3</v>
      </c>
      <c r="F672" s="18" t="s">
        <v>67</v>
      </c>
      <c r="G672" s="19"/>
      <c r="H672" s="20">
        <f t="shared" ref="H672:H719" si="48">E672*G672</f>
        <v>0</v>
      </c>
      <c r="J672" s="133">
        <v>0</v>
      </c>
      <c r="K672" s="138">
        <f t="shared" si="46"/>
        <v>0</v>
      </c>
      <c r="L672" s="133">
        <v>3.9E-2</v>
      </c>
      <c r="M672" s="139" t="e">
        <f>L672*#REF!</f>
        <v>#REF!</v>
      </c>
    </row>
    <row r="673" spans="1:13" s="29" customFormat="1" ht="35.1" customHeight="1" x14ac:dyDescent="0.3">
      <c r="A673" s="21"/>
      <c r="B673" s="22"/>
      <c r="C673" s="23"/>
      <c r="D673" s="24"/>
      <c r="E673" s="25"/>
      <c r="F673" s="26"/>
      <c r="G673" s="27"/>
      <c r="H673" s="20"/>
      <c r="J673" s="134"/>
      <c r="K673" s="138"/>
      <c r="L673" s="134"/>
      <c r="M673" s="139"/>
    </row>
    <row r="674" spans="1:13" s="4" customFormat="1" ht="35.1" customHeight="1" x14ac:dyDescent="0.3">
      <c r="A674" s="13">
        <v>33</v>
      </c>
      <c r="B674" s="14" t="s">
        <v>12</v>
      </c>
      <c r="C674" s="15" t="s">
        <v>68</v>
      </c>
      <c r="D674" s="16" t="s">
        <v>69</v>
      </c>
      <c r="E674" s="17">
        <v>6</v>
      </c>
      <c r="F674" s="18" t="s">
        <v>67</v>
      </c>
      <c r="G674" s="19"/>
      <c r="H674" s="20">
        <f t="shared" si="48"/>
        <v>0</v>
      </c>
      <c r="J674" s="133">
        <v>0</v>
      </c>
      <c r="K674" s="138">
        <f t="shared" si="46"/>
        <v>0</v>
      </c>
      <c r="L674" s="133">
        <v>0.13400000000000001</v>
      </c>
      <c r="M674" s="139" t="e">
        <f>L674*#REF!</f>
        <v>#REF!</v>
      </c>
    </row>
    <row r="675" spans="1:13" s="29" customFormat="1" ht="35.1" customHeight="1" x14ac:dyDescent="0.3">
      <c r="A675" s="21"/>
      <c r="B675" s="22"/>
      <c r="C675" s="23"/>
      <c r="D675" s="24"/>
      <c r="E675" s="25"/>
      <c r="F675" s="26"/>
      <c r="G675" s="27"/>
      <c r="H675" s="20"/>
      <c r="J675" s="134"/>
      <c r="K675" s="138"/>
      <c r="L675" s="134"/>
      <c r="M675" s="139"/>
    </row>
    <row r="676" spans="1:13" s="4" customFormat="1" ht="35.1" customHeight="1" x14ac:dyDescent="0.3">
      <c r="A676" s="13">
        <v>34</v>
      </c>
      <c r="B676" s="14" t="s">
        <v>12</v>
      </c>
      <c r="C676" s="15" t="s">
        <v>70</v>
      </c>
      <c r="D676" s="16" t="s">
        <v>71</v>
      </c>
      <c r="E676" s="17">
        <v>1</v>
      </c>
      <c r="F676" s="18" t="s">
        <v>67</v>
      </c>
      <c r="G676" s="19"/>
      <c r="H676" s="20">
        <f t="shared" si="48"/>
        <v>0</v>
      </c>
      <c r="J676" s="133">
        <v>0</v>
      </c>
      <c r="K676" s="138">
        <f t="shared" si="46"/>
        <v>0</v>
      </c>
      <c r="L676" s="133">
        <v>2.2599999999999999E-2</v>
      </c>
      <c r="M676" s="139" t="e">
        <f>L676*#REF!</f>
        <v>#REF!</v>
      </c>
    </row>
    <row r="677" spans="1:13" s="4" customFormat="1" ht="35.1" customHeight="1" x14ac:dyDescent="0.3">
      <c r="A677" s="13"/>
      <c r="B677" s="14"/>
      <c r="C677" s="15"/>
      <c r="D677" s="16"/>
      <c r="E677" s="17"/>
      <c r="F677" s="18"/>
      <c r="G677" s="19"/>
      <c r="H677" s="20"/>
      <c r="J677" s="133"/>
      <c r="K677" s="138"/>
      <c r="L677" s="133"/>
      <c r="M677" s="139"/>
    </row>
    <row r="678" spans="1:13" s="4" customFormat="1" ht="35.1" customHeight="1" x14ac:dyDescent="0.3">
      <c r="A678" s="13">
        <v>35</v>
      </c>
      <c r="B678" s="14" t="s">
        <v>12</v>
      </c>
      <c r="C678" s="15" t="s">
        <v>70</v>
      </c>
      <c r="D678" s="16" t="s">
        <v>273</v>
      </c>
      <c r="E678" s="17">
        <v>2</v>
      </c>
      <c r="F678" s="18" t="s">
        <v>67</v>
      </c>
      <c r="G678" s="19"/>
      <c r="H678" s="20">
        <f t="shared" si="48"/>
        <v>0</v>
      </c>
      <c r="J678" s="133">
        <v>0</v>
      </c>
      <c r="K678" s="138">
        <f t="shared" ref="K678" si="49">E678*J678</f>
        <v>0</v>
      </c>
      <c r="L678" s="133">
        <v>2.2599999999999999E-2</v>
      </c>
      <c r="M678" s="139" t="e">
        <f>L678*#REF!</f>
        <v>#REF!</v>
      </c>
    </row>
    <row r="679" spans="1:13" s="29" customFormat="1" ht="35.1" customHeight="1" x14ac:dyDescent="0.3">
      <c r="A679" s="21"/>
      <c r="B679" s="22"/>
      <c r="C679" s="23"/>
      <c r="D679" s="24"/>
      <c r="E679" s="25"/>
      <c r="F679" s="26"/>
      <c r="G679" s="27"/>
      <c r="H679" s="20"/>
      <c r="J679" s="134"/>
      <c r="K679" s="138"/>
      <c r="L679" s="134"/>
      <c r="M679" s="139"/>
    </row>
    <row r="680" spans="1:13" s="4" customFormat="1" ht="35.1" customHeight="1" x14ac:dyDescent="0.3">
      <c r="A680" s="13">
        <v>36</v>
      </c>
      <c r="B680" s="14" t="s">
        <v>12</v>
      </c>
      <c r="C680" s="15" t="s">
        <v>72</v>
      </c>
      <c r="D680" s="16" t="s">
        <v>73</v>
      </c>
      <c r="E680" s="17">
        <v>3</v>
      </c>
      <c r="F680" s="18" t="s">
        <v>67</v>
      </c>
      <c r="G680" s="19"/>
      <c r="H680" s="20">
        <f t="shared" si="48"/>
        <v>0</v>
      </c>
      <c r="J680" s="133">
        <v>0</v>
      </c>
      <c r="K680" s="138">
        <f t="shared" si="46"/>
        <v>0</v>
      </c>
      <c r="L680" s="133">
        <v>0.05</v>
      </c>
      <c r="M680" s="139" t="e">
        <f>L680*#REF!</f>
        <v>#REF!</v>
      </c>
    </row>
    <row r="681" spans="1:13" s="29" customFormat="1" ht="35.1" customHeight="1" x14ac:dyDescent="0.3">
      <c r="A681" s="21"/>
      <c r="B681" s="22"/>
      <c r="C681" s="23"/>
      <c r="D681" s="24"/>
      <c r="E681" s="25"/>
      <c r="F681" s="26"/>
      <c r="G681" s="27"/>
      <c r="H681" s="20"/>
      <c r="J681" s="134"/>
      <c r="K681" s="138"/>
      <c r="L681" s="134"/>
      <c r="M681" s="139"/>
    </row>
    <row r="682" spans="1:13" s="4" customFormat="1" ht="35.1" customHeight="1" x14ac:dyDescent="0.3">
      <c r="A682" s="13">
        <v>37</v>
      </c>
      <c r="B682" s="14" t="s">
        <v>12</v>
      </c>
      <c r="C682" s="15" t="s">
        <v>74</v>
      </c>
      <c r="D682" s="16" t="s">
        <v>75</v>
      </c>
      <c r="E682" s="17">
        <v>17</v>
      </c>
      <c r="F682" s="18" t="s">
        <v>67</v>
      </c>
      <c r="G682" s="19"/>
      <c r="H682" s="20">
        <f t="shared" si="48"/>
        <v>0</v>
      </c>
      <c r="J682" s="133">
        <v>0</v>
      </c>
      <c r="K682" s="138">
        <f t="shared" si="46"/>
        <v>0</v>
      </c>
      <c r="L682" s="133">
        <v>7.6800000000000002E-3</v>
      </c>
      <c r="M682" s="139" t="e">
        <f>L682*#REF!</f>
        <v>#REF!</v>
      </c>
    </row>
    <row r="683" spans="1:13" s="29" customFormat="1" ht="35.1" customHeight="1" x14ac:dyDescent="0.3">
      <c r="A683" s="21"/>
      <c r="B683" s="22"/>
      <c r="C683" s="23"/>
      <c r="D683" s="24"/>
      <c r="E683" s="25"/>
      <c r="F683" s="26"/>
      <c r="G683" s="27"/>
      <c r="H683" s="20"/>
      <c r="J683" s="134"/>
      <c r="K683" s="138"/>
      <c r="L683" s="134"/>
      <c r="M683" s="139"/>
    </row>
    <row r="684" spans="1:13" s="4" customFormat="1" ht="35.1" customHeight="1" x14ac:dyDescent="0.3">
      <c r="A684" s="13">
        <v>38</v>
      </c>
      <c r="B684" s="14" t="s">
        <v>12</v>
      </c>
      <c r="C684" s="15" t="s">
        <v>76</v>
      </c>
      <c r="D684" s="16" t="s">
        <v>77</v>
      </c>
      <c r="E684" s="17">
        <v>17</v>
      </c>
      <c r="F684" s="18" t="s">
        <v>67</v>
      </c>
      <c r="G684" s="19"/>
      <c r="H684" s="20">
        <f t="shared" si="48"/>
        <v>0</v>
      </c>
      <c r="J684" s="133">
        <v>0</v>
      </c>
      <c r="K684" s="138">
        <f t="shared" si="46"/>
        <v>0</v>
      </c>
      <c r="L684" s="133">
        <v>4.4999999999999999E-4</v>
      </c>
      <c r="M684" s="139" t="e">
        <f>L684*#REF!</f>
        <v>#REF!</v>
      </c>
    </row>
    <row r="685" spans="1:13" s="29" customFormat="1" ht="35.1" customHeight="1" x14ac:dyDescent="0.3">
      <c r="A685" s="21"/>
      <c r="B685" s="22"/>
      <c r="C685" s="23"/>
      <c r="D685" s="24"/>
      <c r="E685" s="25"/>
      <c r="F685" s="26"/>
      <c r="G685" s="27"/>
      <c r="H685" s="20"/>
      <c r="J685" s="134"/>
      <c r="K685" s="138"/>
      <c r="L685" s="134"/>
      <c r="M685" s="139"/>
    </row>
    <row r="686" spans="1:13" s="4" customFormat="1" ht="35.1" customHeight="1" x14ac:dyDescent="0.3">
      <c r="A686" s="13">
        <v>39</v>
      </c>
      <c r="B686" s="14" t="s">
        <v>12</v>
      </c>
      <c r="C686" s="186" t="s">
        <v>298</v>
      </c>
      <c r="D686" s="193" t="s">
        <v>286</v>
      </c>
      <c r="E686" s="17">
        <v>2</v>
      </c>
      <c r="F686" s="18" t="s">
        <v>64</v>
      </c>
      <c r="G686" s="19"/>
      <c r="H686" s="20">
        <f t="shared" si="48"/>
        <v>0</v>
      </c>
      <c r="J686" s="133"/>
      <c r="K686" s="138">
        <f t="shared" si="46"/>
        <v>0</v>
      </c>
      <c r="L686" s="133"/>
      <c r="M686" s="139"/>
    </row>
    <row r="687" spans="1:13" s="189" customFormat="1" ht="35.1" customHeight="1" x14ac:dyDescent="0.3">
      <c r="A687" s="180"/>
      <c r="B687" s="181"/>
      <c r="C687" s="182"/>
      <c r="D687" s="183"/>
      <c r="E687" s="187"/>
      <c r="F687" s="188"/>
      <c r="G687" s="27"/>
      <c r="H687" s="20"/>
      <c r="J687" s="190"/>
      <c r="K687" s="138"/>
      <c r="L687" s="190"/>
      <c r="M687" s="179"/>
    </row>
    <row r="688" spans="1:13" s="189" customFormat="1" ht="35.1" customHeight="1" x14ac:dyDescent="0.3">
      <c r="A688" s="36">
        <v>40</v>
      </c>
      <c r="B688" s="37" t="s">
        <v>47</v>
      </c>
      <c r="C688" s="38" t="s">
        <v>306</v>
      </c>
      <c r="D688" s="39" t="s">
        <v>287</v>
      </c>
      <c r="E688" s="40">
        <f>E686*1.01</f>
        <v>2.02</v>
      </c>
      <c r="F688" s="41" t="s">
        <v>64</v>
      </c>
      <c r="G688" s="42"/>
      <c r="H688" s="43">
        <f t="shared" si="48"/>
        <v>0</v>
      </c>
      <c r="J688" s="190"/>
      <c r="K688" s="138">
        <f t="shared" si="46"/>
        <v>0</v>
      </c>
      <c r="L688" s="190"/>
      <c r="M688" s="179"/>
    </row>
    <row r="689" spans="1:13" s="29" customFormat="1" ht="35.1" customHeight="1" x14ac:dyDescent="0.3">
      <c r="A689" s="242"/>
      <c r="B689" s="22"/>
      <c r="C689" s="23"/>
      <c r="D689" s="24" t="s">
        <v>239</v>
      </c>
      <c r="E689" s="25"/>
      <c r="F689" s="26"/>
      <c r="G689" s="27"/>
      <c r="H689" s="20"/>
      <c r="J689" s="134"/>
      <c r="K689" s="138"/>
      <c r="L689" s="134"/>
      <c r="M689" s="139"/>
    </row>
    <row r="690" spans="1:13" s="29" customFormat="1" ht="35.1" customHeight="1" x14ac:dyDescent="0.3">
      <c r="A690" s="242"/>
      <c r="B690" s="22"/>
      <c r="C690" s="23"/>
      <c r="D690" s="24"/>
      <c r="E690" s="25"/>
      <c r="F690" s="26"/>
      <c r="G690" s="27"/>
      <c r="H690" s="20"/>
      <c r="J690" s="134"/>
      <c r="K690" s="138"/>
      <c r="L690" s="134"/>
      <c r="M690" s="139"/>
    </row>
    <row r="691" spans="1:13" s="29" customFormat="1" ht="35.1" customHeight="1" x14ac:dyDescent="0.3">
      <c r="A691" s="242">
        <v>41</v>
      </c>
      <c r="B691" s="14" t="s">
        <v>12</v>
      </c>
      <c r="C691" s="15" t="s">
        <v>233</v>
      </c>
      <c r="D691" s="16" t="s">
        <v>234</v>
      </c>
      <c r="E691" s="17">
        <v>114</v>
      </c>
      <c r="F691" s="18" t="s">
        <v>64</v>
      </c>
      <c r="G691" s="19"/>
      <c r="H691" s="20">
        <f t="shared" si="48"/>
        <v>0</v>
      </c>
      <c r="J691" s="134"/>
      <c r="K691" s="138">
        <f t="shared" si="46"/>
        <v>0</v>
      </c>
      <c r="L691" s="134"/>
      <c r="M691" s="139"/>
    </row>
    <row r="692" spans="1:13" s="29" customFormat="1" ht="35.1" customHeight="1" x14ac:dyDescent="0.3">
      <c r="A692" s="21"/>
      <c r="B692" s="22"/>
      <c r="C692" s="23"/>
      <c r="D692" s="24"/>
      <c r="E692" s="25"/>
      <c r="F692" s="26"/>
      <c r="G692" s="27"/>
      <c r="H692" s="20"/>
      <c r="J692" s="134"/>
      <c r="K692" s="138"/>
      <c r="L692" s="134"/>
      <c r="M692" s="139"/>
    </row>
    <row r="693" spans="1:13" s="29" customFormat="1" ht="35.1" customHeight="1" x14ac:dyDescent="0.3">
      <c r="A693" s="36">
        <v>42</v>
      </c>
      <c r="B693" s="37" t="s">
        <v>47</v>
      </c>
      <c r="C693" s="166" t="s">
        <v>304</v>
      </c>
      <c r="D693" s="39" t="s">
        <v>235</v>
      </c>
      <c r="E693" s="40">
        <f>E694</f>
        <v>116.28</v>
      </c>
      <c r="F693" s="41" t="s">
        <v>64</v>
      </c>
      <c r="G693" s="42"/>
      <c r="H693" s="43">
        <f t="shared" si="48"/>
        <v>0</v>
      </c>
      <c r="J693" s="134">
        <v>3.1800000000000001E-3</v>
      </c>
      <c r="K693" s="138">
        <f t="shared" si="46"/>
        <v>0.3697704</v>
      </c>
      <c r="L693" s="134"/>
      <c r="M693" s="139"/>
    </row>
    <row r="694" spans="1:13" s="29" customFormat="1" ht="35.1" customHeight="1" x14ac:dyDescent="0.3">
      <c r="A694" s="21"/>
      <c r="B694" s="22"/>
      <c r="C694" s="23"/>
      <c r="D694" s="24" t="s">
        <v>207</v>
      </c>
      <c r="E694" s="25">
        <f>E691*1.02</f>
        <v>116.28</v>
      </c>
      <c r="F694" s="26" t="s">
        <v>64</v>
      </c>
      <c r="G694" s="27"/>
      <c r="H694" s="20"/>
      <c r="J694" s="134"/>
      <c r="K694" s="138"/>
      <c r="L694" s="134"/>
      <c r="M694" s="139"/>
    </row>
    <row r="695" spans="1:13" s="29" customFormat="1" ht="35.1" customHeight="1" x14ac:dyDescent="0.3">
      <c r="A695" s="21"/>
      <c r="B695" s="22"/>
      <c r="C695" s="23"/>
      <c r="D695" s="24"/>
      <c r="E695" s="25"/>
      <c r="F695" s="26"/>
      <c r="G695" s="27"/>
      <c r="H695" s="20"/>
      <c r="J695" s="134"/>
      <c r="K695" s="138"/>
      <c r="L695" s="134"/>
      <c r="M695" s="139"/>
    </row>
    <row r="696" spans="1:13" s="4" customFormat="1" ht="35.1" customHeight="1" x14ac:dyDescent="0.3">
      <c r="A696" s="13">
        <v>43</v>
      </c>
      <c r="B696" s="14" t="s">
        <v>12</v>
      </c>
      <c r="C696" s="15" t="s">
        <v>78</v>
      </c>
      <c r="D696" s="16" t="s">
        <v>79</v>
      </c>
      <c r="E696" s="17">
        <f>E697</f>
        <v>94</v>
      </c>
      <c r="F696" s="18" t="s">
        <v>64</v>
      </c>
      <c r="G696" s="19"/>
      <c r="H696" s="20">
        <f t="shared" si="48"/>
        <v>0</v>
      </c>
      <c r="J696" s="133">
        <v>0</v>
      </c>
      <c r="K696" s="138">
        <f t="shared" si="46"/>
        <v>0</v>
      </c>
      <c r="L696" s="133">
        <v>0</v>
      </c>
      <c r="M696" s="139" t="e">
        <f>L696*#REF!</f>
        <v>#REF!</v>
      </c>
    </row>
    <row r="697" spans="1:13" s="29" customFormat="1" ht="35.1" customHeight="1" x14ac:dyDescent="0.3">
      <c r="A697" s="21"/>
      <c r="B697" s="22"/>
      <c r="C697" s="23"/>
      <c r="D697" s="90" t="s">
        <v>802</v>
      </c>
      <c r="E697" s="25">
        <f>8*(2.5+2.5)+9*(2.5+3.5)</f>
        <v>94</v>
      </c>
      <c r="F697" s="26" t="s">
        <v>64</v>
      </c>
      <c r="G697" s="27"/>
      <c r="H697" s="20"/>
      <c r="J697" s="134"/>
      <c r="K697" s="138"/>
      <c r="L697" s="134"/>
      <c r="M697" s="139"/>
    </row>
    <row r="698" spans="1:13" s="29" customFormat="1" ht="35.1" customHeight="1" x14ac:dyDescent="0.3">
      <c r="A698" s="21"/>
      <c r="B698" s="22"/>
      <c r="C698" s="23"/>
      <c r="D698" s="90"/>
      <c r="E698" s="25"/>
      <c r="F698" s="26"/>
      <c r="G698" s="27"/>
      <c r="H698" s="20"/>
      <c r="J698" s="134"/>
      <c r="K698" s="138"/>
      <c r="L698" s="134"/>
      <c r="M698" s="139"/>
    </row>
    <row r="699" spans="1:13" s="29" customFormat="1" ht="35.1" customHeight="1" x14ac:dyDescent="0.3">
      <c r="A699" s="36">
        <v>44</v>
      </c>
      <c r="B699" s="37" t="s">
        <v>47</v>
      </c>
      <c r="C699" s="38" t="s">
        <v>303</v>
      </c>
      <c r="D699" s="39" t="s">
        <v>274</v>
      </c>
      <c r="E699" s="40">
        <f>E700</f>
        <v>95.88</v>
      </c>
      <c r="F699" s="41" t="s">
        <v>64</v>
      </c>
      <c r="G699" s="42"/>
      <c r="H699" s="43">
        <f t="shared" si="48"/>
        <v>0</v>
      </c>
      <c r="J699" s="134">
        <v>2.7E-4</v>
      </c>
      <c r="K699" s="138">
        <f t="shared" si="46"/>
        <v>2.58876E-2</v>
      </c>
      <c r="L699" s="134">
        <v>0</v>
      </c>
      <c r="M699" s="139" t="e">
        <f>L699*#REF!</f>
        <v>#REF!</v>
      </c>
    </row>
    <row r="700" spans="1:13" s="29" customFormat="1" ht="35.1" customHeight="1" x14ac:dyDescent="0.3">
      <c r="A700" s="21"/>
      <c r="B700" s="22"/>
      <c r="C700" s="23"/>
      <c r="D700" s="24" t="s">
        <v>207</v>
      </c>
      <c r="E700" s="25">
        <f>E696*1.02</f>
        <v>95.88</v>
      </c>
      <c r="F700" s="26" t="s">
        <v>64</v>
      </c>
      <c r="G700" s="27"/>
      <c r="H700" s="20"/>
      <c r="J700" s="134"/>
      <c r="K700" s="138"/>
      <c r="L700" s="134"/>
      <c r="M700" s="139"/>
    </row>
    <row r="701" spans="1:13" s="29" customFormat="1" ht="35.1" customHeight="1" x14ac:dyDescent="0.3">
      <c r="A701" s="21"/>
      <c r="B701" s="22"/>
      <c r="C701" s="23"/>
      <c r="D701" s="24"/>
      <c r="E701" s="25"/>
      <c r="F701" s="26"/>
      <c r="G701" s="27"/>
      <c r="H701" s="20"/>
      <c r="J701" s="134"/>
      <c r="K701" s="138"/>
      <c r="L701" s="134"/>
      <c r="M701" s="139"/>
    </row>
    <row r="702" spans="1:13" s="29" customFormat="1" ht="35.1" customHeight="1" x14ac:dyDescent="0.3">
      <c r="A702" s="13">
        <v>45</v>
      </c>
      <c r="B702" s="14" t="s">
        <v>12</v>
      </c>
      <c r="C702" s="15" t="s">
        <v>236</v>
      </c>
      <c r="D702" s="16" t="s">
        <v>237</v>
      </c>
      <c r="E702" s="17">
        <f>E704+E707</f>
        <v>23</v>
      </c>
      <c r="F702" s="18" t="s">
        <v>67</v>
      </c>
      <c r="G702" s="19"/>
      <c r="H702" s="20">
        <f t="shared" si="48"/>
        <v>0</v>
      </c>
      <c r="J702" s="134"/>
      <c r="K702" s="138">
        <f t="shared" si="46"/>
        <v>0</v>
      </c>
      <c r="L702" s="134"/>
      <c r="M702" s="139"/>
    </row>
    <row r="703" spans="1:13" s="29" customFormat="1" ht="35.1" customHeight="1" x14ac:dyDescent="0.3">
      <c r="A703" s="21"/>
      <c r="B703" s="113"/>
      <c r="C703" s="114" t="s">
        <v>0</v>
      </c>
      <c r="D703" s="115"/>
      <c r="E703" s="116"/>
      <c r="F703" s="117"/>
      <c r="G703" s="118"/>
      <c r="H703" s="20"/>
      <c r="J703" s="134"/>
      <c r="K703" s="138"/>
      <c r="L703" s="134"/>
      <c r="M703" s="139"/>
    </row>
    <row r="704" spans="1:13" s="29" customFormat="1" ht="35.1" customHeight="1" x14ac:dyDescent="0.3">
      <c r="A704" s="36">
        <v>46</v>
      </c>
      <c r="B704" s="165" t="s">
        <v>47</v>
      </c>
      <c r="C704" s="166" t="s">
        <v>302</v>
      </c>
      <c r="D704" s="167" t="s">
        <v>288</v>
      </c>
      <c r="E704" s="194">
        <v>4</v>
      </c>
      <c r="F704" s="195" t="s">
        <v>67</v>
      </c>
      <c r="G704" s="42"/>
      <c r="H704" s="43">
        <f t="shared" si="48"/>
        <v>0</v>
      </c>
      <c r="J704" s="134">
        <v>7.9000000000000008E-3</v>
      </c>
      <c r="K704" s="198">
        <f t="shared" si="46"/>
        <v>3.1600000000000003E-2</v>
      </c>
      <c r="L704" s="134"/>
      <c r="M704" s="155"/>
    </row>
    <row r="705" spans="1:13" s="29" customFormat="1" ht="35.1" customHeight="1" x14ac:dyDescent="0.3">
      <c r="A705" s="21"/>
      <c r="B705" s="22"/>
      <c r="C705" s="23"/>
      <c r="D705" s="24" t="s">
        <v>804</v>
      </c>
      <c r="E705" s="25"/>
      <c r="F705" s="26"/>
      <c r="G705" s="27"/>
      <c r="H705" s="20"/>
      <c r="J705" s="134"/>
      <c r="K705" s="138"/>
      <c r="L705" s="134"/>
      <c r="M705" s="139"/>
    </row>
    <row r="706" spans="1:13" s="29" customFormat="1" ht="35.1" customHeight="1" x14ac:dyDescent="0.3">
      <c r="A706" s="21"/>
      <c r="B706" s="22"/>
      <c r="C706" s="23"/>
      <c r="D706" s="24"/>
      <c r="E706" s="25"/>
      <c r="F706" s="26"/>
      <c r="G706" s="27"/>
      <c r="H706" s="20"/>
      <c r="J706" s="134"/>
      <c r="K706" s="138"/>
      <c r="L706" s="134"/>
      <c r="M706" s="139"/>
    </row>
    <row r="707" spans="1:13" s="29" customFormat="1" ht="35.1" customHeight="1" x14ac:dyDescent="0.3">
      <c r="A707" s="36">
        <v>47</v>
      </c>
      <c r="B707" s="37" t="s">
        <v>47</v>
      </c>
      <c r="C707" s="38" t="s">
        <v>866</v>
      </c>
      <c r="D707" s="39" t="s">
        <v>867</v>
      </c>
      <c r="E707" s="40">
        <f>E708</f>
        <v>19</v>
      </c>
      <c r="F707" s="41" t="s">
        <v>67</v>
      </c>
      <c r="G707" s="42"/>
      <c r="H707" s="20">
        <f>E707*G707</f>
        <v>0</v>
      </c>
      <c r="J707" s="134"/>
      <c r="K707" s="138"/>
      <c r="L707" s="134"/>
      <c r="M707" s="139"/>
    </row>
    <row r="708" spans="1:13" s="29" customFormat="1" ht="35.1" customHeight="1" x14ac:dyDescent="0.3">
      <c r="A708" s="21"/>
      <c r="B708" s="22"/>
      <c r="C708" s="23"/>
      <c r="D708" s="24" t="s">
        <v>803</v>
      </c>
      <c r="E708" s="25">
        <v>19</v>
      </c>
      <c r="F708" s="26" t="s">
        <v>67</v>
      </c>
      <c r="G708" s="27"/>
      <c r="H708" s="20"/>
      <c r="J708" s="134"/>
      <c r="K708" s="138"/>
      <c r="L708" s="134"/>
      <c r="M708" s="139"/>
    </row>
    <row r="709" spans="1:13" s="29" customFormat="1" ht="35.1" customHeight="1" x14ac:dyDescent="0.3">
      <c r="A709" s="21"/>
      <c r="B709" s="22"/>
      <c r="C709" s="23"/>
      <c r="D709" s="24"/>
      <c r="E709" s="25"/>
      <c r="F709" s="26"/>
      <c r="G709" s="27"/>
      <c r="H709" s="20"/>
      <c r="J709" s="134"/>
      <c r="K709" s="138"/>
      <c r="L709" s="134"/>
      <c r="M709" s="139"/>
    </row>
    <row r="710" spans="1:13" s="106" customFormat="1" ht="35.1" customHeight="1" x14ac:dyDescent="0.3">
      <c r="A710" s="13">
        <v>48</v>
      </c>
      <c r="B710" s="14" t="s">
        <v>12</v>
      </c>
      <c r="C710" s="15" t="s">
        <v>275</v>
      </c>
      <c r="D710" s="16" t="s">
        <v>240</v>
      </c>
      <c r="E710" s="17">
        <f>E712+E714</f>
        <v>4</v>
      </c>
      <c r="F710" s="18" t="s">
        <v>67</v>
      </c>
      <c r="G710" s="19"/>
      <c r="H710" s="20">
        <f t="shared" si="48"/>
        <v>0</v>
      </c>
      <c r="J710" s="137"/>
      <c r="K710" s="138">
        <f t="shared" ref="K710:K742" si="50">E710*J710</f>
        <v>0</v>
      </c>
      <c r="L710" s="137"/>
      <c r="M710" s="142"/>
    </row>
    <row r="711" spans="1:13" s="106" customFormat="1" ht="35.1" customHeight="1" x14ac:dyDescent="0.3">
      <c r="A711" s="21"/>
      <c r="B711" s="100"/>
      <c r="C711" s="101"/>
      <c r="D711" s="102"/>
      <c r="E711" s="103"/>
      <c r="F711" s="104"/>
      <c r="G711" s="105"/>
      <c r="H711" s="20"/>
      <c r="J711" s="137"/>
      <c r="K711" s="138"/>
      <c r="L711" s="137"/>
      <c r="M711" s="142"/>
    </row>
    <row r="712" spans="1:13" s="106" customFormat="1" ht="35.1" customHeight="1" x14ac:dyDescent="0.3">
      <c r="A712" s="36">
        <v>49</v>
      </c>
      <c r="B712" s="37" t="s">
        <v>47</v>
      </c>
      <c r="C712" s="166" t="s">
        <v>299</v>
      </c>
      <c r="D712" s="39" t="s">
        <v>352</v>
      </c>
      <c r="E712" s="40">
        <v>2</v>
      </c>
      <c r="F712" s="41" t="s">
        <v>67</v>
      </c>
      <c r="G712" s="42"/>
      <c r="H712" s="43">
        <f t="shared" si="48"/>
        <v>0</v>
      </c>
      <c r="J712" s="137">
        <v>4.0000000000000001E-3</v>
      </c>
      <c r="K712" s="138">
        <f t="shared" si="50"/>
        <v>8.0000000000000002E-3</v>
      </c>
      <c r="L712" s="137"/>
      <c r="M712" s="142"/>
    </row>
    <row r="713" spans="1:13" s="106" customFormat="1" ht="35.1" customHeight="1" x14ac:dyDescent="0.3">
      <c r="A713" s="21"/>
      <c r="B713" s="22"/>
      <c r="C713" s="23"/>
      <c r="D713" s="24" t="s">
        <v>805</v>
      </c>
      <c r="E713" s="25">
        <v>2</v>
      </c>
      <c r="F713" s="26" t="s">
        <v>67</v>
      </c>
      <c r="G713" s="27"/>
      <c r="H713" s="20"/>
      <c r="J713" s="137"/>
      <c r="K713" s="138"/>
      <c r="L713" s="137"/>
      <c r="M713" s="142"/>
    </row>
    <row r="714" spans="1:13" s="106" customFormat="1" ht="35.1" customHeight="1" x14ac:dyDescent="0.3">
      <c r="A714" s="36">
        <v>50</v>
      </c>
      <c r="B714" s="37" t="s">
        <v>47</v>
      </c>
      <c r="C714" s="166" t="s">
        <v>300</v>
      </c>
      <c r="D714" s="39" t="s">
        <v>353</v>
      </c>
      <c r="E714" s="40">
        <f>E715</f>
        <v>2</v>
      </c>
      <c r="F714" s="41" t="s">
        <v>67</v>
      </c>
      <c r="G714" s="42"/>
      <c r="H714" s="43">
        <f t="shared" si="48"/>
        <v>0</v>
      </c>
      <c r="J714" s="137">
        <v>4.0000000000000001E-3</v>
      </c>
      <c r="K714" s="138">
        <f t="shared" si="50"/>
        <v>8.0000000000000002E-3</v>
      </c>
      <c r="L714" s="137"/>
      <c r="M714" s="142"/>
    </row>
    <row r="715" spans="1:13" s="106" customFormat="1" ht="35.1" customHeight="1" x14ac:dyDescent="0.3">
      <c r="A715" s="21"/>
      <c r="B715" s="22"/>
      <c r="C715" s="23" t="s">
        <v>0</v>
      </c>
      <c r="D715" s="24" t="s">
        <v>805</v>
      </c>
      <c r="E715" s="25">
        <v>2</v>
      </c>
      <c r="F715" s="26" t="s">
        <v>67</v>
      </c>
      <c r="G715" s="27"/>
      <c r="H715" s="20"/>
      <c r="J715" s="137"/>
      <c r="K715" s="138"/>
      <c r="L715" s="137"/>
      <c r="M715" s="142"/>
    </row>
    <row r="716" spans="1:13" s="106" customFormat="1" ht="35.1" customHeight="1" x14ac:dyDescent="0.3">
      <c r="A716" s="21"/>
      <c r="B716" s="100"/>
      <c r="C716" s="101"/>
      <c r="D716" s="102"/>
      <c r="E716" s="103"/>
      <c r="F716" s="104"/>
      <c r="G716" s="105"/>
      <c r="H716" s="20"/>
      <c r="J716" s="137"/>
      <c r="K716" s="138"/>
      <c r="L716" s="137"/>
      <c r="M716" s="142"/>
    </row>
    <row r="717" spans="1:13" s="106" customFormat="1" ht="35.1" customHeight="1" x14ac:dyDescent="0.3">
      <c r="A717" s="13">
        <v>51</v>
      </c>
      <c r="B717" s="14" t="s">
        <v>12</v>
      </c>
      <c r="C717" s="15" t="s">
        <v>245</v>
      </c>
      <c r="D717" s="16" t="s">
        <v>238</v>
      </c>
      <c r="E717" s="17">
        <f>E719+E722</f>
        <v>18</v>
      </c>
      <c r="F717" s="18" t="s">
        <v>67</v>
      </c>
      <c r="G717" s="19"/>
      <c r="H717" s="20">
        <f t="shared" si="48"/>
        <v>0</v>
      </c>
      <c r="J717" s="137"/>
      <c r="K717" s="138">
        <f t="shared" si="50"/>
        <v>0</v>
      </c>
      <c r="L717" s="137"/>
      <c r="M717" s="142"/>
    </row>
    <row r="718" spans="1:13" s="106" customFormat="1" ht="35.1" customHeight="1" x14ac:dyDescent="0.3">
      <c r="A718" s="99"/>
      <c r="B718" s="100"/>
      <c r="C718" s="101"/>
      <c r="D718" s="102"/>
      <c r="E718" s="103"/>
      <c r="F718" s="104"/>
      <c r="G718" s="105"/>
      <c r="H718" s="20"/>
      <c r="J718" s="137"/>
      <c r="K718" s="138"/>
      <c r="L718" s="137"/>
      <c r="M718" s="142"/>
    </row>
    <row r="719" spans="1:13" s="106" customFormat="1" ht="35.1" customHeight="1" x14ac:dyDescent="0.3">
      <c r="A719" s="36">
        <v>52</v>
      </c>
      <c r="B719" s="37" t="s">
        <v>47</v>
      </c>
      <c r="C719" s="38" t="s">
        <v>301</v>
      </c>
      <c r="D719" s="39" t="s">
        <v>354</v>
      </c>
      <c r="E719" s="40">
        <f>E720</f>
        <v>1</v>
      </c>
      <c r="F719" s="41" t="s">
        <v>67</v>
      </c>
      <c r="G719" s="42"/>
      <c r="H719" s="43">
        <f t="shared" si="48"/>
        <v>0</v>
      </c>
      <c r="J719" s="137">
        <v>4.0000000000000001E-3</v>
      </c>
      <c r="K719" s="138">
        <f t="shared" si="50"/>
        <v>4.0000000000000001E-3</v>
      </c>
      <c r="L719" s="137"/>
      <c r="M719" s="142"/>
    </row>
    <row r="720" spans="1:13" s="106" customFormat="1" ht="35.1" customHeight="1" x14ac:dyDescent="0.3">
      <c r="A720" s="21"/>
      <c r="B720" s="22"/>
      <c r="C720" s="23"/>
      <c r="D720" s="24" t="s">
        <v>806</v>
      </c>
      <c r="E720" s="25">
        <v>1</v>
      </c>
      <c r="F720" s="26" t="s">
        <v>67</v>
      </c>
      <c r="G720" s="27"/>
      <c r="H720" s="20"/>
      <c r="J720" s="137"/>
      <c r="K720" s="138"/>
      <c r="L720" s="137"/>
      <c r="M720" s="142"/>
    </row>
    <row r="721" spans="1:13" s="106" customFormat="1" ht="35.1" customHeight="1" x14ac:dyDescent="0.3">
      <c r="A721" s="21"/>
      <c r="B721" s="22"/>
      <c r="C721" s="23"/>
      <c r="D721" s="24"/>
      <c r="E721" s="25"/>
      <c r="F721" s="26"/>
      <c r="G721" s="27"/>
      <c r="H721" s="20"/>
      <c r="J721" s="137"/>
      <c r="K721" s="138"/>
      <c r="L721" s="137"/>
      <c r="M721" s="142"/>
    </row>
    <row r="722" spans="1:13" s="106" customFormat="1" ht="35.1" customHeight="1" x14ac:dyDescent="0.3">
      <c r="A722" s="36">
        <v>53</v>
      </c>
      <c r="B722" s="37" t="s">
        <v>47</v>
      </c>
      <c r="C722" s="38" t="s">
        <v>192</v>
      </c>
      <c r="D722" s="39" t="s">
        <v>168</v>
      </c>
      <c r="E722" s="40">
        <f>E723</f>
        <v>17</v>
      </c>
      <c r="F722" s="41" t="s">
        <v>67</v>
      </c>
      <c r="G722" s="42"/>
      <c r="H722" s="43">
        <f t="shared" ref="H722:H768" si="51">E722*G722</f>
        <v>0</v>
      </c>
      <c r="J722" s="137"/>
      <c r="K722" s="138">
        <f t="shared" si="50"/>
        <v>0</v>
      </c>
      <c r="L722" s="137"/>
      <c r="M722" s="142"/>
    </row>
    <row r="723" spans="1:13" s="106" customFormat="1" ht="35.1" customHeight="1" x14ac:dyDescent="0.3">
      <c r="A723" s="99"/>
      <c r="B723" s="22"/>
      <c r="C723" s="23"/>
      <c r="D723" s="24" t="s">
        <v>807</v>
      </c>
      <c r="E723" s="25">
        <v>17</v>
      </c>
      <c r="F723" s="26" t="s">
        <v>67</v>
      </c>
      <c r="G723" s="27"/>
      <c r="H723" s="20"/>
      <c r="J723" s="137"/>
      <c r="K723" s="138"/>
      <c r="L723" s="137"/>
      <c r="M723" s="142"/>
    </row>
    <row r="724" spans="1:13" s="106" customFormat="1" ht="35.1" customHeight="1" x14ac:dyDescent="0.3">
      <c r="A724" s="99"/>
      <c r="B724" s="22"/>
      <c r="C724" s="23"/>
      <c r="D724" s="24"/>
      <c r="E724" s="25"/>
      <c r="F724" s="26"/>
      <c r="G724" s="27"/>
      <c r="H724" s="20"/>
      <c r="J724" s="137"/>
      <c r="K724" s="138"/>
      <c r="L724" s="137"/>
      <c r="M724" s="142"/>
    </row>
    <row r="725" spans="1:13" s="4" customFormat="1" ht="35.1" customHeight="1" x14ac:dyDescent="0.3">
      <c r="A725" s="13">
        <v>54</v>
      </c>
      <c r="B725" s="14" t="s">
        <v>12</v>
      </c>
      <c r="C725" s="15" t="s">
        <v>208</v>
      </c>
      <c r="D725" s="16" t="s">
        <v>209</v>
      </c>
      <c r="E725" s="17">
        <f>E727</f>
        <v>1</v>
      </c>
      <c r="F725" s="18" t="s">
        <v>67</v>
      </c>
      <c r="G725" s="19"/>
      <c r="H725" s="20">
        <f t="shared" si="51"/>
        <v>0</v>
      </c>
      <c r="J725" s="133">
        <v>1.7099999999999999E-3</v>
      </c>
      <c r="K725" s="138">
        <f t="shared" si="50"/>
        <v>1.7099999999999999E-3</v>
      </c>
      <c r="L725" s="133">
        <v>0</v>
      </c>
      <c r="M725" s="139" t="e">
        <f>L725*#REF!</f>
        <v>#REF!</v>
      </c>
    </row>
    <row r="726" spans="1:13" s="29" customFormat="1" ht="35.1" customHeight="1" x14ac:dyDescent="0.3">
      <c r="A726" s="21"/>
      <c r="B726" s="22"/>
      <c r="C726" s="23"/>
      <c r="D726" s="24"/>
      <c r="E726" s="25"/>
      <c r="F726" s="26"/>
      <c r="G726" s="27"/>
      <c r="H726" s="20"/>
      <c r="J726" s="134"/>
      <c r="K726" s="138"/>
      <c r="L726" s="134"/>
      <c r="M726" s="139"/>
    </row>
    <row r="727" spans="1:13" s="120" customFormat="1" ht="35.1" customHeight="1" x14ac:dyDescent="0.3">
      <c r="A727" s="36">
        <v>55</v>
      </c>
      <c r="B727" s="37" t="s">
        <v>47</v>
      </c>
      <c r="C727" s="166" t="s">
        <v>305</v>
      </c>
      <c r="D727" s="167" t="s">
        <v>289</v>
      </c>
      <c r="E727" s="40">
        <f>E728</f>
        <v>1</v>
      </c>
      <c r="F727" s="41" t="s">
        <v>67</v>
      </c>
      <c r="G727" s="42"/>
      <c r="H727" s="43">
        <f t="shared" si="51"/>
        <v>0</v>
      </c>
      <c r="J727" s="141">
        <v>1.8100000000000002E-2</v>
      </c>
      <c r="K727" s="138">
        <f t="shared" si="50"/>
        <v>1.8100000000000002E-2</v>
      </c>
      <c r="L727" s="141">
        <v>0</v>
      </c>
      <c r="M727" s="157" t="e">
        <f>L727*#REF!</f>
        <v>#REF!</v>
      </c>
    </row>
    <row r="728" spans="1:13" s="29" customFormat="1" ht="35.1" customHeight="1" x14ac:dyDescent="0.3">
      <c r="A728" s="21"/>
      <c r="B728" s="22"/>
      <c r="C728" s="23"/>
      <c r="D728" s="24" t="s">
        <v>808</v>
      </c>
      <c r="E728" s="25">
        <v>1</v>
      </c>
      <c r="F728" s="26" t="s">
        <v>67</v>
      </c>
      <c r="G728" s="27"/>
      <c r="H728" s="20"/>
      <c r="J728" s="134"/>
      <c r="K728" s="138"/>
      <c r="L728" s="134"/>
      <c r="M728" s="139"/>
    </row>
    <row r="729" spans="1:13" s="29" customFormat="1" ht="35.1" customHeight="1" x14ac:dyDescent="0.3">
      <c r="A729" s="21"/>
      <c r="B729" s="22"/>
      <c r="C729" s="23"/>
      <c r="D729" s="24"/>
      <c r="E729" s="25"/>
      <c r="F729" s="26"/>
      <c r="G729" s="27"/>
      <c r="H729" s="20"/>
      <c r="J729" s="134"/>
      <c r="K729" s="138"/>
      <c r="L729" s="134"/>
      <c r="M729" s="139"/>
    </row>
    <row r="730" spans="1:13" s="4" customFormat="1" ht="35.1" customHeight="1" x14ac:dyDescent="0.3">
      <c r="A730" s="13">
        <v>56</v>
      </c>
      <c r="B730" s="14" t="s">
        <v>12</v>
      </c>
      <c r="C730" s="15" t="s">
        <v>210</v>
      </c>
      <c r="D730" s="16" t="s">
        <v>211</v>
      </c>
      <c r="E730" s="17">
        <v>2</v>
      </c>
      <c r="F730" s="18" t="s">
        <v>67</v>
      </c>
      <c r="G730" s="19"/>
      <c r="H730" s="20">
        <f t="shared" si="51"/>
        <v>0</v>
      </c>
      <c r="J730" s="133">
        <v>1.65E-3</v>
      </c>
      <c r="K730" s="138">
        <f t="shared" si="50"/>
        <v>3.3E-3</v>
      </c>
      <c r="L730" s="133">
        <v>0</v>
      </c>
      <c r="M730" s="139" t="e">
        <f>L730*#REF!</f>
        <v>#REF!</v>
      </c>
    </row>
    <row r="731" spans="1:13" s="29" customFormat="1" ht="35.1" customHeight="1" x14ac:dyDescent="0.3">
      <c r="A731" s="21"/>
      <c r="B731" s="22"/>
      <c r="C731" s="23"/>
      <c r="D731" s="24"/>
      <c r="E731" s="25"/>
      <c r="F731" s="26"/>
      <c r="G731" s="27"/>
      <c r="H731" s="20"/>
      <c r="J731" s="134"/>
      <c r="K731" s="138"/>
      <c r="L731" s="134"/>
      <c r="M731" s="142"/>
    </row>
    <row r="732" spans="1:13" s="120" customFormat="1" ht="35.1" customHeight="1" x14ac:dyDescent="0.3">
      <c r="A732" s="36">
        <v>57</v>
      </c>
      <c r="B732" s="37" t="s">
        <v>47</v>
      </c>
      <c r="C732" s="38" t="s">
        <v>276</v>
      </c>
      <c r="D732" s="39" t="s">
        <v>262</v>
      </c>
      <c r="E732" s="40">
        <v>2</v>
      </c>
      <c r="F732" s="41" t="s">
        <v>67</v>
      </c>
      <c r="G732" s="42"/>
      <c r="H732" s="43">
        <f t="shared" si="51"/>
        <v>0</v>
      </c>
      <c r="J732" s="141">
        <v>3.4000000000000002E-2</v>
      </c>
      <c r="K732" s="198">
        <f t="shared" si="50"/>
        <v>6.8000000000000005E-2</v>
      </c>
      <c r="L732" s="141">
        <v>0</v>
      </c>
      <c r="M732" s="157" t="e">
        <f>L732*#REF!</f>
        <v>#REF!</v>
      </c>
    </row>
    <row r="733" spans="1:13" s="29" customFormat="1" ht="35.1" customHeight="1" x14ac:dyDescent="0.3">
      <c r="A733" s="21"/>
      <c r="B733" s="22"/>
      <c r="C733" s="23"/>
      <c r="D733" s="24"/>
      <c r="E733" s="25"/>
      <c r="F733" s="26"/>
      <c r="G733" s="27"/>
      <c r="H733" s="20"/>
      <c r="J733" s="134"/>
      <c r="K733" s="198"/>
      <c r="L733" s="134"/>
      <c r="M733" s="155"/>
    </row>
    <row r="734" spans="1:13" s="4" customFormat="1" ht="35.1" customHeight="1" x14ac:dyDescent="0.3">
      <c r="A734" s="13">
        <v>58</v>
      </c>
      <c r="B734" s="14" t="s">
        <v>12</v>
      </c>
      <c r="C734" s="15" t="s">
        <v>277</v>
      </c>
      <c r="D734" s="16" t="s">
        <v>241</v>
      </c>
      <c r="E734" s="17">
        <f>E736</f>
        <v>1</v>
      </c>
      <c r="F734" s="18" t="s">
        <v>67</v>
      </c>
      <c r="G734" s="19"/>
      <c r="H734" s="20">
        <f t="shared" si="51"/>
        <v>0</v>
      </c>
      <c r="J734" s="133">
        <v>1.65E-3</v>
      </c>
      <c r="K734" s="198">
        <f t="shared" si="50"/>
        <v>1.65E-3</v>
      </c>
      <c r="L734" s="133">
        <v>0</v>
      </c>
      <c r="M734" s="155" t="e">
        <f>L734*#REF!</f>
        <v>#REF!</v>
      </c>
    </row>
    <row r="735" spans="1:13" s="29" customFormat="1" ht="35.1" customHeight="1" x14ac:dyDescent="0.3">
      <c r="A735" s="21"/>
      <c r="B735" s="22"/>
      <c r="C735" s="23"/>
      <c r="D735" s="24"/>
      <c r="E735" s="25"/>
      <c r="F735" s="26"/>
      <c r="G735" s="27"/>
      <c r="H735" s="20"/>
      <c r="J735" s="134"/>
      <c r="K735" s="198"/>
      <c r="L735" s="134"/>
      <c r="M735" s="156"/>
    </row>
    <row r="736" spans="1:13" s="120" customFormat="1" ht="35.1" customHeight="1" x14ac:dyDescent="0.3">
      <c r="A736" s="36">
        <v>59</v>
      </c>
      <c r="B736" s="37" t="s">
        <v>47</v>
      </c>
      <c r="C736" s="38" t="s">
        <v>179</v>
      </c>
      <c r="D736" s="39" t="s">
        <v>242</v>
      </c>
      <c r="E736" s="40">
        <v>1</v>
      </c>
      <c r="F736" s="41" t="s">
        <v>67</v>
      </c>
      <c r="G736" s="42"/>
      <c r="H736" s="43">
        <f t="shared" si="51"/>
        <v>0</v>
      </c>
      <c r="J736" s="141">
        <v>1.8499999999999999E-2</v>
      </c>
      <c r="K736" s="198">
        <f t="shared" si="50"/>
        <v>1.8499999999999999E-2</v>
      </c>
      <c r="L736" s="141">
        <v>0</v>
      </c>
      <c r="M736" s="157" t="e">
        <f>L736*#REF!</f>
        <v>#REF!</v>
      </c>
    </row>
    <row r="737" spans="1:13" s="106" customFormat="1" ht="35.1" customHeight="1" x14ac:dyDescent="0.3">
      <c r="A737" s="99"/>
      <c r="B737" s="100"/>
      <c r="C737" s="101"/>
      <c r="D737" s="102"/>
      <c r="E737" s="103"/>
      <c r="F737" s="104"/>
      <c r="G737" s="105"/>
      <c r="H737" s="20"/>
      <c r="J737" s="137"/>
      <c r="K737" s="138"/>
      <c r="L737" s="137"/>
      <c r="M737" s="142"/>
    </row>
    <row r="738" spans="1:13" s="4" customFormat="1" ht="35.1" customHeight="1" x14ac:dyDescent="0.3">
      <c r="A738" s="13">
        <v>60</v>
      </c>
      <c r="B738" s="14" t="s">
        <v>12</v>
      </c>
      <c r="C738" s="15" t="s">
        <v>212</v>
      </c>
      <c r="D738" s="16" t="s">
        <v>82</v>
      </c>
      <c r="E738" s="17">
        <f>E740</f>
        <v>17</v>
      </c>
      <c r="F738" s="18" t="s">
        <v>67</v>
      </c>
      <c r="G738" s="19"/>
      <c r="H738" s="20">
        <f t="shared" si="51"/>
        <v>0</v>
      </c>
      <c r="J738" s="133">
        <v>7.2000000000000005E-4</v>
      </c>
      <c r="K738" s="138">
        <f t="shared" si="50"/>
        <v>1.2240000000000001E-2</v>
      </c>
      <c r="L738" s="133">
        <v>0</v>
      </c>
      <c r="M738" s="155" t="e">
        <f>L738*#REF!</f>
        <v>#REF!</v>
      </c>
    </row>
    <row r="739" spans="1:13" s="4" customFormat="1" ht="35.1" customHeight="1" x14ac:dyDescent="0.3">
      <c r="A739" s="13"/>
      <c r="B739" s="14"/>
      <c r="C739" s="15"/>
      <c r="D739" s="16"/>
      <c r="E739" s="17"/>
      <c r="F739" s="18"/>
      <c r="G739" s="19"/>
      <c r="H739" s="20"/>
      <c r="J739" s="133"/>
      <c r="K739" s="138"/>
      <c r="L739" s="133"/>
      <c r="M739" s="155"/>
    </row>
    <row r="740" spans="1:13" s="4" customFormat="1" ht="35.1" customHeight="1" x14ac:dyDescent="0.3">
      <c r="A740" s="36">
        <v>61</v>
      </c>
      <c r="B740" s="37" t="s">
        <v>47</v>
      </c>
      <c r="C740" s="38" t="s">
        <v>180</v>
      </c>
      <c r="D740" s="39" t="s">
        <v>164</v>
      </c>
      <c r="E740" s="40">
        <v>17</v>
      </c>
      <c r="F740" s="41" t="s">
        <v>67</v>
      </c>
      <c r="G740" s="42"/>
      <c r="H740" s="43">
        <f t="shared" si="51"/>
        <v>0</v>
      </c>
      <c r="J740" s="133">
        <v>4.0000000000000001E-3</v>
      </c>
      <c r="K740" s="138">
        <f t="shared" si="50"/>
        <v>6.8000000000000005E-2</v>
      </c>
      <c r="L740" s="133">
        <v>0</v>
      </c>
      <c r="M740" s="155" t="e">
        <f>L740*#REF!</f>
        <v>#REF!</v>
      </c>
    </row>
    <row r="741" spans="1:13" s="4" customFormat="1" ht="35.1" customHeight="1" x14ac:dyDescent="0.3">
      <c r="A741" s="36"/>
      <c r="B741" s="37"/>
      <c r="C741" s="38"/>
      <c r="D741" s="107"/>
      <c r="E741" s="108"/>
      <c r="F741" s="109"/>
      <c r="G741" s="110"/>
      <c r="H741" s="43"/>
      <c r="J741" s="133"/>
      <c r="K741" s="138"/>
      <c r="L741" s="133"/>
      <c r="M741" s="139"/>
    </row>
    <row r="742" spans="1:13" s="4" customFormat="1" ht="35.1" customHeight="1" x14ac:dyDescent="0.3">
      <c r="A742" s="36">
        <v>62</v>
      </c>
      <c r="B742" s="37" t="s">
        <v>47</v>
      </c>
      <c r="C742" s="38" t="s">
        <v>193</v>
      </c>
      <c r="D742" s="39" t="s">
        <v>165</v>
      </c>
      <c r="E742" s="40">
        <v>17</v>
      </c>
      <c r="F742" s="41" t="s">
        <v>67</v>
      </c>
      <c r="G742" s="42"/>
      <c r="H742" s="43">
        <f t="shared" si="51"/>
        <v>0</v>
      </c>
      <c r="J742" s="133">
        <v>4.0000000000000001E-3</v>
      </c>
      <c r="K742" s="138">
        <f t="shared" si="50"/>
        <v>6.8000000000000005E-2</v>
      </c>
      <c r="L742" s="133">
        <v>0</v>
      </c>
      <c r="M742" s="155" t="e">
        <f>L742*#REF!</f>
        <v>#REF!</v>
      </c>
    </row>
    <row r="743" spans="1:13" s="4" customFormat="1" ht="35.1" customHeight="1" x14ac:dyDescent="0.2">
      <c r="A743" s="36"/>
      <c r="B743" s="37"/>
      <c r="C743" s="38"/>
      <c r="D743" s="111"/>
      <c r="E743" s="40"/>
      <c r="F743" s="41"/>
      <c r="G743" s="42"/>
      <c r="H743" s="20"/>
      <c r="J743" s="133"/>
      <c r="K743" s="138"/>
      <c r="L743" s="133"/>
      <c r="M743" s="155"/>
    </row>
    <row r="744" spans="1:13" s="4" customFormat="1" ht="35.1" customHeight="1" x14ac:dyDescent="0.3">
      <c r="A744" s="13">
        <v>63</v>
      </c>
      <c r="B744" s="14" t="s">
        <v>12</v>
      </c>
      <c r="C744" s="186" t="s">
        <v>903</v>
      </c>
      <c r="D744" s="193" t="s">
        <v>889</v>
      </c>
      <c r="E744" s="17">
        <f>E746</f>
        <v>17</v>
      </c>
      <c r="F744" s="18" t="s">
        <v>67</v>
      </c>
      <c r="G744" s="19"/>
      <c r="H744" s="20">
        <f t="shared" si="51"/>
        <v>0</v>
      </c>
      <c r="J744" s="133">
        <v>0</v>
      </c>
      <c r="K744" s="138">
        <f t="shared" ref="K744:K783" si="52">E744*J744</f>
        <v>0</v>
      </c>
      <c r="L744" s="133">
        <v>0</v>
      </c>
      <c r="M744" s="139" t="e">
        <f>L744*#REF!</f>
        <v>#REF!</v>
      </c>
    </row>
    <row r="745" spans="1:13" s="29" customFormat="1" ht="35.1" customHeight="1" x14ac:dyDescent="0.3">
      <c r="A745" s="21"/>
      <c r="B745" s="22"/>
      <c r="C745" s="23"/>
      <c r="D745" s="24"/>
      <c r="E745" s="25"/>
      <c r="F745" s="26"/>
      <c r="G745" s="27"/>
      <c r="H745" s="20"/>
      <c r="J745" s="134"/>
      <c r="K745" s="138"/>
      <c r="L745" s="134"/>
      <c r="M745" s="139"/>
    </row>
    <row r="746" spans="1:13" s="4" customFormat="1" ht="35.1" customHeight="1" x14ac:dyDescent="0.3">
      <c r="A746" s="36">
        <v>64</v>
      </c>
      <c r="B746" s="37" t="s">
        <v>47</v>
      </c>
      <c r="C746" s="38" t="s">
        <v>904</v>
      </c>
      <c r="D746" s="167" t="s">
        <v>888</v>
      </c>
      <c r="E746" s="40">
        <v>17</v>
      </c>
      <c r="F746" s="41" t="s">
        <v>67</v>
      </c>
      <c r="G746" s="42"/>
      <c r="H746" s="43">
        <f t="shared" si="51"/>
        <v>0</v>
      </c>
      <c r="J746" s="133">
        <f>6.2/1000</f>
        <v>6.1999999999999998E-3</v>
      </c>
      <c r="K746" s="198">
        <f t="shared" si="52"/>
        <v>0.10539999999999999</v>
      </c>
      <c r="L746" s="133">
        <v>0</v>
      </c>
      <c r="M746" s="155" t="e">
        <f>L746*#REF!</f>
        <v>#REF!</v>
      </c>
    </row>
    <row r="747" spans="1:13" s="29" customFormat="1" ht="35.1" customHeight="1" x14ac:dyDescent="0.3">
      <c r="A747" s="21"/>
      <c r="B747" s="22"/>
      <c r="C747" s="23"/>
      <c r="D747" s="24"/>
      <c r="E747" s="25"/>
      <c r="F747" s="26"/>
      <c r="G747" s="27"/>
      <c r="H747" s="20"/>
      <c r="J747" s="134"/>
      <c r="K747" s="138"/>
      <c r="L747" s="134"/>
      <c r="M747" s="139"/>
    </row>
    <row r="748" spans="1:13" s="4" customFormat="1" ht="35.1" customHeight="1" x14ac:dyDescent="0.3">
      <c r="A748" s="13">
        <v>65</v>
      </c>
      <c r="B748" s="14" t="s">
        <v>12</v>
      </c>
      <c r="C748" s="15" t="s">
        <v>83</v>
      </c>
      <c r="D748" s="16" t="s">
        <v>84</v>
      </c>
      <c r="E748" s="17">
        <f>E750+E752+E754</f>
        <v>20</v>
      </c>
      <c r="F748" s="18" t="s">
        <v>67</v>
      </c>
      <c r="G748" s="19"/>
      <c r="H748" s="20">
        <f t="shared" si="51"/>
        <v>0</v>
      </c>
      <c r="J748" s="133">
        <v>0</v>
      </c>
      <c r="K748" s="138">
        <f t="shared" si="52"/>
        <v>0</v>
      </c>
      <c r="L748" s="133">
        <v>0</v>
      </c>
      <c r="M748" s="139" t="e">
        <f>L748*#REF!</f>
        <v>#REF!</v>
      </c>
    </row>
    <row r="749" spans="1:13" s="29" customFormat="1" ht="35.1" customHeight="1" x14ac:dyDescent="0.3">
      <c r="A749" s="21"/>
      <c r="B749" s="22"/>
      <c r="C749" s="23"/>
      <c r="D749" s="24"/>
      <c r="E749" s="25"/>
      <c r="F749" s="26"/>
      <c r="G749" s="27"/>
      <c r="H749" s="20"/>
      <c r="J749" s="134"/>
      <c r="K749" s="138"/>
      <c r="L749" s="134"/>
      <c r="M749" s="142"/>
    </row>
    <row r="750" spans="1:13" s="29" customFormat="1" ht="35.1" customHeight="1" x14ac:dyDescent="0.3">
      <c r="A750" s="36">
        <v>66</v>
      </c>
      <c r="B750" s="37" t="s">
        <v>47</v>
      </c>
      <c r="C750" s="166" t="s">
        <v>229</v>
      </c>
      <c r="D750" s="39" t="s">
        <v>243</v>
      </c>
      <c r="E750" s="40">
        <v>2</v>
      </c>
      <c r="F750" s="41" t="s">
        <v>67</v>
      </c>
      <c r="G750" s="42"/>
      <c r="H750" s="43">
        <f t="shared" si="51"/>
        <v>0</v>
      </c>
      <c r="J750" s="134">
        <v>7.3000000000000001E-3</v>
      </c>
      <c r="K750" s="198">
        <f t="shared" si="52"/>
        <v>1.46E-2</v>
      </c>
      <c r="L750" s="134">
        <v>0</v>
      </c>
      <c r="M750" s="155" t="e">
        <f>L750*#REF!</f>
        <v>#REF!</v>
      </c>
    </row>
    <row r="751" spans="1:13" s="29" customFormat="1" ht="35.1" customHeight="1" x14ac:dyDescent="0.3">
      <c r="A751" s="36"/>
      <c r="B751" s="22"/>
      <c r="C751" s="38"/>
      <c r="D751" s="24"/>
      <c r="E751" s="25"/>
      <c r="F751" s="26"/>
      <c r="G751" s="27"/>
      <c r="H751" s="43"/>
      <c r="J751" s="134"/>
      <c r="K751" s="198"/>
      <c r="L751" s="134"/>
      <c r="M751" s="155"/>
    </row>
    <row r="752" spans="1:13" s="29" customFormat="1" ht="35.1" customHeight="1" x14ac:dyDescent="0.3">
      <c r="A752" s="36">
        <v>67</v>
      </c>
      <c r="B752" s="37" t="s">
        <v>47</v>
      </c>
      <c r="C752" s="38" t="s">
        <v>278</v>
      </c>
      <c r="D752" s="39" t="s">
        <v>244</v>
      </c>
      <c r="E752" s="40">
        <v>1</v>
      </c>
      <c r="F752" s="41" t="s">
        <v>67</v>
      </c>
      <c r="G752" s="42"/>
      <c r="H752" s="43">
        <f t="shared" si="51"/>
        <v>0</v>
      </c>
      <c r="J752" s="134">
        <v>7.3000000000000001E-3</v>
      </c>
      <c r="K752" s="198">
        <f t="shared" si="52"/>
        <v>7.3000000000000001E-3</v>
      </c>
      <c r="L752" s="134">
        <v>0</v>
      </c>
      <c r="M752" s="155" t="e">
        <f>L752*#REF!</f>
        <v>#REF!</v>
      </c>
    </row>
    <row r="753" spans="1:13" s="29" customFormat="1" ht="35.1" customHeight="1" x14ac:dyDescent="0.3">
      <c r="A753" s="36"/>
      <c r="B753" s="22"/>
      <c r="C753" s="38"/>
      <c r="D753" s="24"/>
      <c r="E753" s="25"/>
      <c r="F753" s="26"/>
      <c r="G753" s="27"/>
      <c r="H753" s="43"/>
      <c r="J753" s="134"/>
      <c r="K753" s="198"/>
      <c r="L753" s="134"/>
      <c r="M753" s="155"/>
    </row>
    <row r="754" spans="1:13" s="29" customFormat="1" ht="35.1" customHeight="1" x14ac:dyDescent="0.3">
      <c r="A754" s="36">
        <v>68</v>
      </c>
      <c r="B754" s="37" t="s">
        <v>47</v>
      </c>
      <c r="C754" s="38" t="s">
        <v>181</v>
      </c>
      <c r="D754" s="39" t="s">
        <v>166</v>
      </c>
      <c r="E754" s="40">
        <v>17</v>
      </c>
      <c r="F754" s="41" t="s">
        <v>67</v>
      </c>
      <c r="G754" s="42"/>
      <c r="H754" s="43">
        <f t="shared" si="51"/>
        <v>0</v>
      </c>
      <c r="J754" s="134">
        <v>3.5000000000000001E-3</v>
      </c>
      <c r="K754" s="198">
        <f t="shared" si="52"/>
        <v>5.9500000000000004E-2</v>
      </c>
      <c r="L754" s="134">
        <v>0</v>
      </c>
      <c r="M754" s="155" t="e">
        <f>L754*#REF!</f>
        <v>#REF!</v>
      </c>
    </row>
    <row r="755" spans="1:13" s="29" customFormat="1" ht="35.1" customHeight="1" x14ac:dyDescent="0.3">
      <c r="A755" s="21"/>
      <c r="B755" s="22"/>
      <c r="C755" s="23"/>
      <c r="D755" s="24"/>
      <c r="E755" s="25"/>
      <c r="F755" s="26"/>
      <c r="G755" s="27"/>
      <c r="H755" s="20">
        <f t="shared" si="51"/>
        <v>0</v>
      </c>
      <c r="J755" s="134"/>
      <c r="K755" s="138"/>
      <c r="L755" s="134"/>
      <c r="M755" s="139"/>
    </row>
    <row r="756" spans="1:13" s="4" customFormat="1" ht="35.1" customHeight="1" x14ac:dyDescent="0.3">
      <c r="A756" s="13">
        <v>69</v>
      </c>
      <c r="B756" s="14" t="s">
        <v>12</v>
      </c>
      <c r="C756" s="15" t="s">
        <v>214</v>
      </c>
      <c r="D756" s="16" t="s">
        <v>215</v>
      </c>
      <c r="E756" s="17">
        <v>114</v>
      </c>
      <c r="F756" s="18" t="s">
        <v>64</v>
      </c>
      <c r="G756" s="19"/>
      <c r="H756" s="20">
        <f t="shared" si="51"/>
        <v>0</v>
      </c>
      <c r="J756" s="133">
        <v>0</v>
      </c>
      <c r="K756" s="138">
        <f t="shared" si="52"/>
        <v>0</v>
      </c>
      <c r="L756" s="133">
        <v>0</v>
      </c>
      <c r="M756" s="139" t="e">
        <f>L756*#REF!</f>
        <v>#REF!</v>
      </c>
    </row>
    <row r="757" spans="1:13" s="29" customFormat="1" ht="35.1" customHeight="1" x14ac:dyDescent="0.3">
      <c r="A757" s="21"/>
      <c r="B757" s="22"/>
      <c r="C757" s="23"/>
      <c r="D757" s="24"/>
      <c r="E757" s="25"/>
      <c r="F757" s="26"/>
      <c r="G757" s="27"/>
      <c r="H757" s="20"/>
      <c r="J757" s="134"/>
      <c r="K757" s="138"/>
      <c r="L757" s="134"/>
      <c r="M757" s="139"/>
    </row>
    <row r="758" spans="1:13" s="4" customFormat="1" ht="35.1" customHeight="1" x14ac:dyDescent="0.3">
      <c r="A758" s="13">
        <v>70</v>
      </c>
      <c r="B758" s="14" t="s">
        <v>12</v>
      </c>
      <c r="C758" s="15" t="s">
        <v>214</v>
      </c>
      <c r="D758" s="16" t="s">
        <v>213</v>
      </c>
      <c r="E758" s="17">
        <v>114</v>
      </c>
      <c r="F758" s="18" t="s">
        <v>64</v>
      </c>
      <c r="G758" s="19"/>
      <c r="H758" s="20">
        <f t="shared" si="51"/>
        <v>0</v>
      </c>
      <c r="J758" s="133">
        <v>0</v>
      </c>
      <c r="K758" s="138">
        <f t="shared" si="52"/>
        <v>0</v>
      </c>
      <c r="L758" s="133">
        <v>0</v>
      </c>
      <c r="M758" s="139" t="e">
        <f>L758*#REF!</f>
        <v>#REF!</v>
      </c>
    </row>
    <row r="759" spans="1:13" s="29" customFormat="1" ht="35.1" customHeight="1" x14ac:dyDescent="0.3">
      <c r="A759" s="21"/>
      <c r="B759" s="22"/>
      <c r="C759" s="23"/>
      <c r="D759" s="24"/>
      <c r="E759" s="25"/>
      <c r="F759" s="26"/>
      <c r="G759" s="27"/>
      <c r="H759" s="20"/>
      <c r="J759" s="134"/>
      <c r="K759" s="138"/>
      <c r="L759" s="134"/>
      <c r="M759" s="139"/>
    </row>
    <row r="760" spans="1:13" s="4" customFormat="1" ht="35.1" customHeight="1" x14ac:dyDescent="0.3">
      <c r="A760" s="13">
        <v>71</v>
      </c>
      <c r="B760" s="14" t="s">
        <v>12</v>
      </c>
      <c r="C760" s="15" t="s">
        <v>85</v>
      </c>
      <c r="D760" s="16" t="s">
        <v>86</v>
      </c>
      <c r="E760" s="17">
        <v>2</v>
      </c>
      <c r="F760" s="18" t="s">
        <v>67</v>
      </c>
      <c r="G760" s="19"/>
      <c r="H760" s="20">
        <f t="shared" si="51"/>
        <v>0</v>
      </c>
      <c r="J760" s="133">
        <v>0.46009</v>
      </c>
      <c r="K760" s="138">
        <f t="shared" si="52"/>
        <v>0.92018</v>
      </c>
      <c r="L760" s="133">
        <v>0</v>
      </c>
      <c r="M760" s="139" t="e">
        <f>L760*#REF!</f>
        <v>#REF!</v>
      </c>
    </row>
    <row r="761" spans="1:13" s="29" customFormat="1" ht="35.1" customHeight="1" x14ac:dyDescent="0.3">
      <c r="A761" s="21"/>
      <c r="B761" s="22"/>
      <c r="C761" s="23"/>
      <c r="D761" s="24"/>
      <c r="E761" s="25"/>
      <c r="F761" s="26"/>
      <c r="G761" s="27"/>
      <c r="H761" s="20"/>
      <c r="J761" s="134"/>
      <c r="K761" s="138"/>
      <c r="L761" s="134"/>
      <c r="M761" s="142"/>
    </row>
    <row r="762" spans="1:13" s="4" customFormat="1" ht="35.1" customHeight="1" x14ac:dyDescent="0.3">
      <c r="A762" s="13">
        <v>72</v>
      </c>
      <c r="B762" s="14" t="s">
        <v>12</v>
      </c>
      <c r="C762" s="15" t="s">
        <v>87</v>
      </c>
      <c r="D762" s="16" t="s">
        <v>88</v>
      </c>
      <c r="E762" s="17">
        <v>10</v>
      </c>
      <c r="F762" s="18" t="s">
        <v>89</v>
      </c>
      <c r="G762" s="19"/>
      <c r="H762" s="20">
        <f t="shared" si="51"/>
        <v>0</v>
      </c>
      <c r="J762" s="133"/>
      <c r="K762" s="138"/>
      <c r="L762" s="133"/>
      <c r="M762" s="139"/>
    </row>
    <row r="763" spans="1:13" s="29" customFormat="1" ht="35.1" customHeight="1" x14ac:dyDescent="0.3">
      <c r="A763" s="21"/>
      <c r="B763" s="22"/>
      <c r="C763" s="23"/>
      <c r="D763" s="24"/>
      <c r="E763" s="25"/>
      <c r="F763" s="26"/>
      <c r="G763" s="27"/>
      <c r="H763" s="20"/>
      <c r="J763" s="134"/>
      <c r="K763" s="138"/>
      <c r="L763" s="134"/>
      <c r="M763" s="142"/>
    </row>
    <row r="764" spans="1:13" s="4" customFormat="1" ht="35.1" customHeight="1" x14ac:dyDescent="0.3">
      <c r="A764" s="13">
        <v>73</v>
      </c>
      <c r="B764" s="14" t="s">
        <v>12</v>
      </c>
      <c r="C764" s="15" t="s">
        <v>90</v>
      </c>
      <c r="D764" s="16" t="s">
        <v>91</v>
      </c>
      <c r="E764" s="17">
        <f>E766+E768+E770</f>
        <v>40</v>
      </c>
      <c r="F764" s="18" t="s">
        <v>67</v>
      </c>
      <c r="G764" s="19"/>
      <c r="H764" s="20">
        <f t="shared" si="51"/>
        <v>0</v>
      </c>
      <c r="J764" s="133">
        <v>0.12303</v>
      </c>
      <c r="K764" s="138">
        <f t="shared" si="52"/>
        <v>4.9211999999999998</v>
      </c>
      <c r="L764" s="133">
        <v>0</v>
      </c>
      <c r="M764" s="139" t="e">
        <f>L764*#REF!</f>
        <v>#REF!</v>
      </c>
    </row>
    <row r="765" spans="1:13" s="29" customFormat="1" ht="35.1" customHeight="1" x14ac:dyDescent="0.3">
      <c r="A765" s="21"/>
      <c r="B765" s="22"/>
      <c r="C765" s="23"/>
      <c r="D765" s="24"/>
      <c r="E765" s="25"/>
      <c r="F765" s="26"/>
      <c r="G765" s="27"/>
      <c r="H765" s="43"/>
      <c r="J765" s="134"/>
      <c r="K765" s="138"/>
      <c r="L765" s="134"/>
      <c r="M765" s="142"/>
    </row>
    <row r="766" spans="1:13" s="29" customFormat="1" ht="35.1" customHeight="1" x14ac:dyDescent="0.3">
      <c r="A766" s="36">
        <v>74</v>
      </c>
      <c r="B766" s="37" t="s">
        <v>47</v>
      </c>
      <c r="C766" s="38" t="s">
        <v>182</v>
      </c>
      <c r="D766" s="39" t="s">
        <v>163</v>
      </c>
      <c r="E766" s="40">
        <v>3</v>
      </c>
      <c r="F766" s="41" t="s">
        <v>67</v>
      </c>
      <c r="G766" s="42"/>
      <c r="H766" s="43">
        <f t="shared" si="51"/>
        <v>0</v>
      </c>
      <c r="J766" s="134">
        <v>1.3299999999999999E-2</v>
      </c>
      <c r="K766" s="138">
        <f t="shared" si="52"/>
        <v>3.9899999999999998E-2</v>
      </c>
      <c r="L766" s="134">
        <v>0</v>
      </c>
      <c r="M766" s="155" t="e">
        <f>L766*#REF!</f>
        <v>#REF!</v>
      </c>
    </row>
    <row r="767" spans="1:13" s="29" customFormat="1" ht="35.1" customHeight="1" x14ac:dyDescent="0.3">
      <c r="A767" s="36"/>
      <c r="B767" s="22"/>
      <c r="C767" s="38"/>
      <c r="D767" s="24"/>
      <c r="E767" s="25"/>
      <c r="F767" s="26"/>
      <c r="G767" s="27"/>
      <c r="H767" s="43"/>
      <c r="J767" s="134"/>
      <c r="K767" s="138"/>
      <c r="L767" s="134"/>
      <c r="M767" s="155"/>
    </row>
    <row r="768" spans="1:13" s="29" customFormat="1" ht="35.1" customHeight="1" x14ac:dyDescent="0.3">
      <c r="A768" s="36">
        <v>75</v>
      </c>
      <c r="B768" s="37" t="s">
        <v>47</v>
      </c>
      <c r="C768" s="38" t="s">
        <v>183</v>
      </c>
      <c r="D768" s="39" t="s">
        <v>167</v>
      </c>
      <c r="E768" s="40">
        <v>17</v>
      </c>
      <c r="F768" s="41" t="s">
        <v>67</v>
      </c>
      <c r="G768" s="42"/>
      <c r="H768" s="43">
        <f t="shared" si="51"/>
        <v>0</v>
      </c>
      <c r="J768" s="134">
        <v>1.3299999999999999E-2</v>
      </c>
      <c r="K768" s="138">
        <f t="shared" si="52"/>
        <v>0.2261</v>
      </c>
      <c r="L768" s="134">
        <v>0</v>
      </c>
      <c r="M768" s="155" t="e">
        <f>L768*#REF!</f>
        <v>#REF!</v>
      </c>
    </row>
    <row r="769" spans="1:13" s="29" customFormat="1" ht="35.1" customHeight="1" x14ac:dyDescent="0.3">
      <c r="A769" s="36"/>
      <c r="B769" s="22"/>
      <c r="C769" s="23"/>
      <c r="D769" s="24"/>
      <c r="E769" s="25"/>
      <c r="F769" s="26"/>
      <c r="G769" s="27"/>
      <c r="H769" s="43"/>
      <c r="J769" s="134"/>
      <c r="K769" s="138"/>
      <c r="L769" s="134"/>
      <c r="M769" s="155"/>
    </row>
    <row r="770" spans="1:13" s="29" customFormat="1" ht="35.1" customHeight="1" x14ac:dyDescent="0.3">
      <c r="A770" s="36">
        <v>76</v>
      </c>
      <c r="B770" s="37" t="s">
        <v>47</v>
      </c>
      <c r="C770" s="38" t="s">
        <v>184</v>
      </c>
      <c r="D770" s="39" t="s">
        <v>162</v>
      </c>
      <c r="E770" s="40">
        <f>E766+E768</f>
        <v>20</v>
      </c>
      <c r="F770" s="41" t="s">
        <v>67</v>
      </c>
      <c r="G770" s="42"/>
      <c r="H770" s="43">
        <f t="shared" ref="H770:H878" si="53">E770*G770</f>
        <v>0</v>
      </c>
      <c r="J770" s="134">
        <v>8.9999999999999998E-4</v>
      </c>
      <c r="K770" s="138">
        <f t="shared" si="52"/>
        <v>1.7999999999999999E-2</v>
      </c>
      <c r="L770" s="134">
        <v>0</v>
      </c>
      <c r="M770" s="155" t="e">
        <f>L770*#REF!</f>
        <v>#REF!</v>
      </c>
    </row>
    <row r="771" spans="1:13" s="29" customFormat="1" ht="35.1" customHeight="1" x14ac:dyDescent="0.3">
      <c r="A771" s="21"/>
      <c r="B771" s="22"/>
      <c r="C771" s="23"/>
      <c r="D771" s="107"/>
      <c r="E771" s="25"/>
      <c r="F771" s="26"/>
      <c r="G771" s="27"/>
      <c r="H771" s="20"/>
      <c r="J771" s="134"/>
      <c r="K771" s="138"/>
      <c r="L771" s="134"/>
      <c r="M771" s="139"/>
    </row>
    <row r="772" spans="1:13" s="4" customFormat="1" ht="35.1" customHeight="1" x14ac:dyDescent="0.3">
      <c r="A772" s="13">
        <v>77</v>
      </c>
      <c r="B772" s="14" t="s">
        <v>12</v>
      </c>
      <c r="C772" s="15" t="s">
        <v>93</v>
      </c>
      <c r="D772" s="16" t="s">
        <v>94</v>
      </c>
      <c r="E772" s="197">
        <v>114</v>
      </c>
      <c r="F772" s="18" t="s">
        <v>64</v>
      </c>
      <c r="G772" s="19"/>
      <c r="H772" s="20">
        <f t="shared" si="53"/>
        <v>0</v>
      </c>
      <c r="J772" s="133">
        <v>6.9999999999999994E-5</v>
      </c>
      <c r="K772" s="138">
        <f t="shared" si="52"/>
        <v>7.9799999999999992E-3</v>
      </c>
      <c r="L772" s="133">
        <v>0</v>
      </c>
      <c r="M772" s="139" t="e">
        <f>L772*#REF!</f>
        <v>#REF!</v>
      </c>
    </row>
    <row r="773" spans="1:13" s="29" customFormat="1" ht="35.1" customHeight="1" x14ac:dyDescent="0.3">
      <c r="A773" s="21"/>
      <c r="B773" s="22"/>
      <c r="C773" s="23"/>
      <c r="D773" s="24" t="s">
        <v>290</v>
      </c>
      <c r="E773" s="187"/>
      <c r="F773" s="26"/>
      <c r="G773" s="27"/>
      <c r="H773" s="20"/>
      <c r="J773" s="134"/>
      <c r="K773" s="138"/>
      <c r="L773" s="134"/>
      <c r="M773" s="139"/>
    </row>
    <row r="774" spans="1:13" s="29" customFormat="1" ht="35.1" customHeight="1" x14ac:dyDescent="0.3">
      <c r="A774" s="21"/>
      <c r="B774" s="22"/>
      <c r="C774" s="23"/>
      <c r="D774" s="24"/>
      <c r="E774" s="187"/>
      <c r="F774" s="26"/>
      <c r="G774" s="27"/>
      <c r="H774" s="20"/>
      <c r="J774" s="134"/>
      <c r="K774" s="138"/>
      <c r="L774" s="134"/>
      <c r="M774" s="139"/>
    </row>
    <row r="775" spans="1:13" s="4" customFormat="1" ht="35.1" customHeight="1" x14ac:dyDescent="0.3">
      <c r="A775" s="13">
        <v>78</v>
      </c>
      <c r="B775" s="14" t="s">
        <v>12</v>
      </c>
      <c r="C775" s="15" t="s">
        <v>95</v>
      </c>
      <c r="D775" s="16" t="s">
        <v>96</v>
      </c>
      <c r="E775" s="197">
        <v>115</v>
      </c>
      <c r="F775" s="18" t="s">
        <v>64</v>
      </c>
      <c r="G775" s="19"/>
      <c r="H775" s="20">
        <f t="shared" si="53"/>
        <v>0</v>
      </c>
      <c r="J775" s="133">
        <v>1.9000000000000001E-4</v>
      </c>
      <c r="K775" s="138">
        <f t="shared" si="52"/>
        <v>2.1850000000000001E-2</v>
      </c>
      <c r="L775" s="133">
        <v>0</v>
      </c>
      <c r="M775" s="139" t="e">
        <f>L775*#REF!</f>
        <v>#REF!</v>
      </c>
    </row>
    <row r="776" spans="1:13" s="4" customFormat="1" ht="35.1" customHeight="1" x14ac:dyDescent="0.3">
      <c r="A776" s="13"/>
      <c r="B776" s="14"/>
      <c r="C776" s="15"/>
      <c r="D776" s="16" t="s">
        <v>290</v>
      </c>
      <c r="E776" s="17"/>
      <c r="F776" s="18"/>
      <c r="G776" s="19"/>
      <c r="H776" s="20"/>
      <c r="J776" s="133"/>
      <c r="K776" s="138"/>
      <c r="L776" s="133"/>
      <c r="M776" s="139"/>
    </row>
    <row r="777" spans="1:13" s="4" customFormat="1" ht="35.1" customHeight="1" x14ac:dyDescent="0.3">
      <c r="A777" s="13"/>
      <c r="B777" s="14"/>
      <c r="C777" s="15"/>
      <c r="D777" s="16"/>
      <c r="E777" s="17"/>
      <c r="F777" s="18"/>
      <c r="G777" s="19"/>
      <c r="H777" s="20"/>
      <c r="J777" s="133"/>
      <c r="K777" s="138"/>
      <c r="L777" s="133"/>
      <c r="M777" s="139"/>
    </row>
    <row r="778" spans="1:13" s="4" customFormat="1" ht="35.1" customHeight="1" x14ac:dyDescent="0.3">
      <c r="A778" s="13">
        <v>79</v>
      </c>
      <c r="B778" s="14" t="s">
        <v>12</v>
      </c>
      <c r="C778" s="15" t="s">
        <v>218</v>
      </c>
      <c r="D778" s="16" t="s">
        <v>187</v>
      </c>
      <c r="E778" s="197">
        <v>110</v>
      </c>
      <c r="F778" s="18" t="s">
        <v>64</v>
      </c>
      <c r="G778" s="19"/>
      <c r="H778" s="20">
        <f t="shared" si="53"/>
        <v>0</v>
      </c>
      <c r="J778" s="133"/>
      <c r="K778" s="138">
        <f t="shared" si="52"/>
        <v>0</v>
      </c>
      <c r="L778" s="133"/>
      <c r="M778" s="139"/>
    </row>
    <row r="779" spans="1:13" s="4" customFormat="1" ht="35.1" customHeight="1" x14ac:dyDescent="0.3">
      <c r="A779" s="21"/>
      <c r="B779" s="22"/>
      <c r="C779" s="23"/>
      <c r="D779" s="24"/>
      <c r="E779" s="72"/>
      <c r="F779" s="64"/>
      <c r="G779" s="27"/>
      <c r="H779" s="20"/>
      <c r="J779" s="133"/>
      <c r="K779" s="138"/>
      <c r="L779" s="133"/>
      <c r="M779" s="139"/>
    </row>
    <row r="780" spans="1:13" s="4" customFormat="1" ht="35.1" customHeight="1" x14ac:dyDescent="0.3">
      <c r="A780" s="36">
        <v>80</v>
      </c>
      <c r="B780" s="37" t="s">
        <v>47</v>
      </c>
      <c r="C780" s="166" t="s">
        <v>185</v>
      </c>
      <c r="D780" s="39" t="s">
        <v>186</v>
      </c>
      <c r="E780" s="73">
        <f>E781</f>
        <v>19.000333333333334</v>
      </c>
      <c r="F780" s="75" t="s">
        <v>67</v>
      </c>
      <c r="G780" s="42"/>
      <c r="H780" s="43">
        <f t="shared" si="53"/>
        <v>0</v>
      </c>
      <c r="J780" s="133">
        <f>6*18.3/1000</f>
        <v>0.10980000000000001</v>
      </c>
      <c r="K780" s="138">
        <f t="shared" si="52"/>
        <v>2.0862366000000003</v>
      </c>
      <c r="L780" s="133"/>
      <c r="M780" s="139"/>
    </row>
    <row r="781" spans="1:13" s="4" customFormat="1" ht="35.1" customHeight="1" x14ac:dyDescent="0.3">
      <c r="A781" s="21"/>
      <c r="B781" s="22"/>
      <c r="C781" s="23"/>
      <c r="D781" s="24" t="s">
        <v>217</v>
      </c>
      <c r="E781" s="72">
        <f>E778/6+0.667</f>
        <v>19.000333333333334</v>
      </c>
      <c r="F781" s="64" t="s">
        <v>67</v>
      </c>
      <c r="G781" s="27"/>
      <c r="H781" s="20"/>
      <c r="J781" s="133"/>
      <c r="K781" s="138"/>
      <c r="L781" s="133"/>
      <c r="M781" s="139"/>
    </row>
    <row r="782" spans="1:13" s="4" customFormat="1" ht="35.1" customHeight="1" x14ac:dyDescent="0.3">
      <c r="A782" s="21"/>
      <c r="B782" s="22"/>
      <c r="C782" s="23"/>
      <c r="D782" s="24"/>
      <c r="E782" s="72"/>
      <c r="F782" s="64"/>
      <c r="G782" s="27"/>
      <c r="H782" s="20"/>
      <c r="J782" s="133"/>
      <c r="K782" s="138"/>
      <c r="L782" s="133"/>
      <c r="M782" s="139"/>
    </row>
    <row r="783" spans="1:13" s="4" customFormat="1" ht="35.1" customHeight="1" x14ac:dyDescent="0.3">
      <c r="A783" s="13">
        <v>81</v>
      </c>
      <c r="B783" s="14" t="s">
        <v>12</v>
      </c>
      <c r="C783" s="15" t="s">
        <v>219</v>
      </c>
      <c r="D783" s="16" t="s">
        <v>141</v>
      </c>
      <c r="E783" s="197">
        <f>E846</f>
        <v>181</v>
      </c>
      <c r="F783" s="18" t="s">
        <v>64</v>
      </c>
      <c r="G783" s="19"/>
      <c r="H783" s="20">
        <f t="shared" si="53"/>
        <v>0</v>
      </c>
      <c r="J783" s="133"/>
      <c r="K783" s="138">
        <f t="shared" si="52"/>
        <v>0</v>
      </c>
      <c r="L783" s="133"/>
      <c r="M783" s="139"/>
    </row>
    <row r="784" spans="1:13" s="177" customFormat="1" ht="35.1" customHeight="1" x14ac:dyDescent="0.3">
      <c r="A784" s="287"/>
      <c r="B784" s="278"/>
      <c r="C784" s="186"/>
      <c r="D784" s="193" t="s">
        <v>880</v>
      </c>
      <c r="E784" s="196"/>
      <c r="F784" s="279"/>
      <c r="G784" s="19"/>
      <c r="H784" s="20"/>
      <c r="J784" s="178"/>
      <c r="K784" s="280"/>
      <c r="L784" s="178"/>
      <c r="M784" s="179"/>
    </row>
    <row r="785" spans="1:13" s="177" customFormat="1" ht="35.1" customHeight="1" x14ac:dyDescent="0.3">
      <c r="A785" s="287"/>
      <c r="B785" s="278"/>
      <c r="C785" s="186"/>
      <c r="D785" s="193" t="s">
        <v>881</v>
      </c>
      <c r="E785" s="196"/>
      <c r="F785" s="279"/>
      <c r="G785" s="19"/>
      <c r="H785" s="20"/>
      <c r="J785" s="178"/>
      <c r="K785" s="280"/>
      <c r="L785" s="178"/>
      <c r="M785" s="179"/>
    </row>
    <row r="786" spans="1:13" s="177" customFormat="1" ht="35.1" customHeight="1" x14ac:dyDescent="0.3">
      <c r="A786" s="287"/>
      <c r="B786" s="278"/>
      <c r="C786" s="186"/>
      <c r="D786" s="193" t="s">
        <v>882</v>
      </c>
      <c r="E786" s="196"/>
      <c r="F786" s="279"/>
      <c r="G786" s="19"/>
      <c r="H786" s="20"/>
      <c r="J786" s="178"/>
      <c r="K786" s="280"/>
      <c r="L786" s="178"/>
      <c r="M786" s="179"/>
    </row>
    <row r="787" spans="1:13" s="177" customFormat="1" ht="35.1" customHeight="1" x14ac:dyDescent="0.3">
      <c r="A787" s="287"/>
      <c r="B787" s="278"/>
      <c r="C787" s="186"/>
      <c r="D787" s="193" t="s">
        <v>357</v>
      </c>
      <c r="E787" s="196"/>
      <c r="F787" s="279"/>
      <c r="G787" s="19"/>
      <c r="H787" s="20"/>
      <c r="J787" s="178"/>
      <c r="K787" s="280"/>
      <c r="L787" s="178"/>
      <c r="M787" s="179"/>
    </row>
    <row r="788" spans="1:13" s="177" customFormat="1" ht="35.1" customHeight="1" x14ac:dyDescent="0.3">
      <c r="A788" s="287"/>
      <c r="B788" s="278"/>
      <c r="C788" s="186"/>
      <c r="D788" s="193" t="s">
        <v>434</v>
      </c>
      <c r="E788" s="196">
        <v>2.5</v>
      </c>
      <c r="F788" s="279" t="s">
        <v>64</v>
      </c>
      <c r="G788" s="19"/>
      <c r="H788" s="20"/>
      <c r="J788" s="178"/>
      <c r="K788" s="280"/>
      <c r="L788" s="178"/>
      <c r="M788" s="179"/>
    </row>
    <row r="789" spans="1:13" s="177" customFormat="1" ht="35.1" customHeight="1" x14ac:dyDescent="0.3">
      <c r="A789" s="287"/>
      <c r="B789" s="278"/>
      <c r="C789" s="186"/>
      <c r="D789" s="193" t="s">
        <v>439</v>
      </c>
      <c r="E789" s="196">
        <v>2.5</v>
      </c>
      <c r="F789" s="279" t="s">
        <v>64</v>
      </c>
      <c r="G789" s="19"/>
      <c r="H789" s="20"/>
      <c r="J789" s="178"/>
      <c r="K789" s="280"/>
      <c r="L789" s="178"/>
      <c r="M789" s="179"/>
    </row>
    <row r="790" spans="1:13" s="177" customFormat="1" ht="35.1" customHeight="1" x14ac:dyDescent="0.3">
      <c r="A790" s="287"/>
      <c r="B790" s="278"/>
      <c r="C790" s="186"/>
      <c r="D790" s="193" t="s">
        <v>435</v>
      </c>
      <c r="E790" s="196">
        <v>2.5</v>
      </c>
      <c r="F790" s="279" t="s">
        <v>64</v>
      </c>
      <c r="G790" s="19"/>
      <c r="H790" s="20"/>
      <c r="J790" s="178"/>
      <c r="K790" s="280"/>
      <c r="L790" s="178"/>
      <c r="M790" s="179"/>
    </row>
    <row r="791" spans="1:13" s="177" customFormat="1" ht="35.1" customHeight="1" x14ac:dyDescent="0.3">
      <c r="A791" s="287"/>
      <c r="B791" s="278"/>
      <c r="C791" s="186"/>
      <c r="D791" s="193" t="s">
        <v>440</v>
      </c>
      <c r="E791" s="196">
        <v>2.5</v>
      </c>
      <c r="F791" s="279" t="s">
        <v>64</v>
      </c>
      <c r="G791" s="19"/>
      <c r="H791" s="20"/>
      <c r="J791" s="178"/>
      <c r="K791" s="280"/>
      <c r="L791" s="178"/>
      <c r="M791" s="179"/>
    </row>
    <row r="792" spans="1:13" s="177" customFormat="1" ht="35.1" customHeight="1" x14ac:dyDescent="0.3">
      <c r="A792" s="287"/>
      <c r="B792" s="278"/>
      <c r="C792" s="186"/>
      <c r="D792" s="193" t="s">
        <v>436</v>
      </c>
      <c r="E792" s="196">
        <v>2.5</v>
      </c>
      <c r="F792" s="279" t="s">
        <v>64</v>
      </c>
      <c r="G792" s="19"/>
      <c r="H792" s="20"/>
      <c r="J792" s="178"/>
      <c r="K792" s="280"/>
      <c r="L792" s="178"/>
      <c r="M792" s="179"/>
    </row>
    <row r="793" spans="1:13" s="177" customFormat="1" ht="35.1" customHeight="1" x14ac:dyDescent="0.3">
      <c r="A793" s="287"/>
      <c r="B793" s="278"/>
      <c r="C793" s="186"/>
      <c r="D793" s="193" t="s">
        <v>473</v>
      </c>
      <c r="E793" s="196">
        <f>3.5+1</f>
        <v>4.5</v>
      </c>
      <c r="F793" s="279" t="s">
        <v>64</v>
      </c>
      <c r="G793" s="19"/>
      <c r="H793" s="20"/>
      <c r="J793" s="178"/>
      <c r="K793" s="280"/>
      <c r="L793" s="178"/>
      <c r="M793" s="179"/>
    </row>
    <row r="794" spans="1:13" s="177" customFormat="1" ht="35.1" customHeight="1" x14ac:dyDescent="0.3">
      <c r="A794" s="287"/>
      <c r="B794" s="278"/>
      <c r="C794" s="186"/>
      <c r="D794" s="193" t="s">
        <v>437</v>
      </c>
      <c r="E794" s="196">
        <v>2.5</v>
      </c>
      <c r="F794" s="279" t="s">
        <v>64</v>
      </c>
      <c r="G794" s="19"/>
      <c r="H794" s="20"/>
      <c r="J794" s="178"/>
      <c r="K794" s="280"/>
      <c r="L794" s="178"/>
      <c r="M794" s="179"/>
    </row>
    <row r="795" spans="1:13" s="177" customFormat="1" ht="35.1" customHeight="1" x14ac:dyDescent="0.3">
      <c r="A795" s="287"/>
      <c r="B795" s="278"/>
      <c r="C795" s="186"/>
      <c r="D795" s="193" t="s">
        <v>474</v>
      </c>
      <c r="E795" s="196">
        <f>3.5+1</f>
        <v>4.5</v>
      </c>
      <c r="F795" s="279" t="s">
        <v>64</v>
      </c>
      <c r="G795" s="19"/>
      <c r="H795" s="20"/>
      <c r="J795" s="178"/>
      <c r="K795" s="280"/>
      <c r="L795" s="178"/>
      <c r="M795" s="179"/>
    </row>
    <row r="796" spans="1:13" s="177" customFormat="1" ht="35.1" customHeight="1" x14ac:dyDescent="0.3">
      <c r="A796" s="287"/>
      <c r="B796" s="278"/>
      <c r="C796" s="186"/>
      <c r="D796" s="193" t="s">
        <v>441</v>
      </c>
      <c r="E796" s="196">
        <v>2.5</v>
      </c>
      <c r="F796" s="279" t="s">
        <v>64</v>
      </c>
      <c r="G796" s="19"/>
      <c r="H796" s="20"/>
      <c r="J796" s="178"/>
      <c r="K796" s="280"/>
      <c r="L796" s="178"/>
      <c r="M796" s="179"/>
    </row>
    <row r="797" spans="1:13" s="177" customFormat="1" ht="35.1" customHeight="1" x14ac:dyDescent="0.3">
      <c r="A797" s="287"/>
      <c r="B797" s="278"/>
      <c r="C797" s="186"/>
      <c r="D797" s="193" t="s">
        <v>438</v>
      </c>
      <c r="E797" s="196">
        <v>2.5</v>
      </c>
      <c r="F797" s="279" t="s">
        <v>64</v>
      </c>
      <c r="G797" s="19"/>
      <c r="H797" s="20"/>
      <c r="J797" s="178"/>
      <c r="K797" s="280"/>
      <c r="L797" s="178"/>
      <c r="M797" s="179"/>
    </row>
    <row r="798" spans="1:13" s="177" customFormat="1" ht="35.1" customHeight="1" x14ac:dyDescent="0.3">
      <c r="A798" s="287"/>
      <c r="B798" s="278"/>
      <c r="C798" s="186"/>
      <c r="D798" s="193" t="s">
        <v>442</v>
      </c>
      <c r="E798" s="196">
        <v>2.5</v>
      </c>
      <c r="F798" s="279" t="s">
        <v>64</v>
      </c>
      <c r="G798" s="19"/>
      <c r="H798" s="20"/>
      <c r="J798" s="178"/>
      <c r="K798" s="280"/>
      <c r="L798" s="178"/>
      <c r="M798" s="179"/>
    </row>
    <row r="799" spans="1:13" s="177" customFormat="1" ht="35.1" customHeight="1" x14ac:dyDescent="0.3">
      <c r="A799" s="287"/>
      <c r="B799" s="278"/>
      <c r="C799" s="186"/>
      <c r="D799" s="193" t="s">
        <v>443</v>
      </c>
      <c r="E799" s="196">
        <v>3.5</v>
      </c>
      <c r="F799" s="279" t="s">
        <v>64</v>
      </c>
      <c r="G799" s="19"/>
      <c r="H799" s="20"/>
      <c r="J799" s="178"/>
      <c r="K799" s="280"/>
      <c r="L799" s="178"/>
      <c r="M799" s="179"/>
    </row>
    <row r="800" spans="1:13" s="177" customFormat="1" ht="35.1" customHeight="1" x14ac:dyDescent="0.3">
      <c r="A800" s="287"/>
      <c r="B800" s="278"/>
      <c r="C800" s="186"/>
      <c r="D800" s="193" t="s">
        <v>370</v>
      </c>
      <c r="E800" s="196">
        <v>2.5</v>
      </c>
      <c r="F800" s="279" t="s">
        <v>64</v>
      </c>
      <c r="G800" s="19"/>
      <c r="H800" s="20"/>
      <c r="J800" s="178"/>
      <c r="K800" s="280"/>
      <c r="L800" s="178"/>
      <c r="M800" s="179"/>
    </row>
    <row r="801" spans="1:13" s="177" customFormat="1" ht="35.1" customHeight="1" x14ac:dyDescent="0.3">
      <c r="A801" s="287"/>
      <c r="B801" s="278"/>
      <c r="C801" s="186"/>
      <c r="D801" s="193" t="s">
        <v>475</v>
      </c>
      <c r="E801" s="196">
        <f>3.5+1</f>
        <v>4.5</v>
      </c>
      <c r="F801" s="279" t="s">
        <v>64</v>
      </c>
      <c r="G801" s="19"/>
      <c r="H801" s="20"/>
      <c r="J801" s="178"/>
      <c r="K801" s="280"/>
      <c r="L801" s="178"/>
      <c r="M801" s="179"/>
    </row>
    <row r="802" spans="1:13" s="177" customFormat="1" ht="35.1" customHeight="1" x14ac:dyDescent="0.3">
      <c r="A802" s="287"/>
      <c r="B802" s="278"/>
      <c r="C802" s="186"/>
      <c r="D802" s="193" t="s">
        <v>446</v>
      </c>
      <c r="E802" s="196">
        <v>2.5</v>
      </c>
      <c r="F802" s="279" t="s">
        <v>64</v>
      </c>
      <c r="G802" s="19"/>
      <c r="H802" s="20"/>
      <c r="J802" s="178"/>
      <c r="K802" s="280"/>
      <c r="L802" s="178"/>
      <c r="M802" s="179"/>
    </row>
    <row r="803" spans="1:13" s="177" customFormat="1" ht="35.1" customHeight="1" x14ac:dyDescent="0.3">
      <c r="A803" s="287"/>
      <c r="B803" s="278"/>
      <c r="C803" s="186"/>
      <c r="D803" s="193" t="s">
        <v>444</v>
      </c>
      <c r="E803" s="196">
        <v>2.5</v>
      </c>
      <c r="F803" s="279" t="s">
        <v>64</v>
      </c>
      <c r="G803" s="19"/>
      <c r="H803" s="20"/>
      <c r="J803" s="178"/>
      <c r="K803" s="280"/>
      <c r="L803" s="178"/>
      <c r="M803" s="179"/>
    </row>
    <row r="804" spans="1:13" s="177" customFormat="1" ht="35.1" customHeight="1" x14ac:dyDescent="0.3">
      <c r="A804" s="287"/>
      <c r="B804" s="278"/>
      <c r="C804" s="186"/>
      <c r="D804" s="193" t="s">
        <v>447</v>
      </c>
      <c r="E804" s="196">
        <v>2.5</v>
      </c>
      <c r="F804" s="279" t="s">
        <v>64</v>
      </c>
      <c r="G804" s="19"/>
      <c r="H804" s="20"/>
      <c r="J804" s="178"/>
      <c r="K804" s="280"/>
      <c r="L804" s="178"/>
      <c r="M804" s="179"/>
    </row>
    <row r="805" spans="1:13" s="177" customFormat="1" ht="35.1" customHeight="1" x14ac:dyDescent="0.3">
      <c r="A805" s="287"/>
      <c r="B805" s="278"/>
      <c r="C805" s="186"/>
      <c r="D805" s="193" t="s">
        <v>476</v>
      </c>
      <c r="E805" s="196">
        <f>3.5+1</f>
        <v>4.5</v>
      </c>
      <c r="F805" s="279" t="s">
        <v>64</v>
      </c>
      <c r="G805" s="19"/>
      <c r="H805" s="20"/>
      <c r="J805" s="178"/>
      <c r="K805" s="280"/>
      <c r="L805" s="178"/>
      <c r="M805" s="179"/>
    </row>
    <row r="806" spans="1:13" s="177" customFormat="1" ht="35.1" customHeight="1" x14ac:dyDescent="0.3">
      <c r="A806" s="287"/>
      <c r="B806" s="278"/>
      <c r="C806" s="186"/>
      <c r="D806" s="193" t="s">
        <v>448</v>
      </c>
      <c r="E806" s="196">
        <v>2.5</v>
      </c>
      <c r="F806" s="279" t="s">
        <v>64</v>
      </c>
      <c r="G806" s="19"/>
      <c r="H806" s="20"/>
      <c r="J806" s="178"/>
      <c r="K806" s="280"/>
      <c r="L806" s="178"/>
      <c r="M806" s="179"/>
    </row>
    <row r="807" spans="1:13" s="177" customFormat="1" ht="35.1" customHeight="1" x14ac:dyDescent="0.3">
      <c r="A807" s="287"/>
      <c r="B807" s="278"/>
      <c r="C807" s="186"/>
      <c r="D807" s="193" t="s">
        <v>477</v>
      </c>
      <c r="E807" s="196">
        <f>3.5+1</f>
        <v>4.5</v>
      </c>
      <c r="F807" s="279" t="s">
        <v>64</v>
      </c>
      <c r="G807" s="19"/>
      <c r="H807" s="20"/>
      <c r="J807" s="178"/>
      <c r="K807" s="280"/>
      <c r="L807" s="178"/>
      <c r="M807" s="179"/>
    </row>
    <row r="808" spans="1:13" s="177" customFormat="1" ht="35.1" customHeight="1" x14ac:dyDescent="0.3">
      <c r="A808" s="287"/>
      <c r="B808" s="278"/>
      <c r="C808" s="186"/>
      <c r="D808" s="193" t="s">
        <v>449</v>
      </c>
      <c r="E808" s="196">
        <f>2.5</f>
        <v>2.5</v>
      </c>
      <c r="F808" s="279" t="s">
        <v>64</v>
      </c>
      <c r="G808" s="19"/>
      <c r="H808" s="20"/>
      <c r="J808" s="178"/>
      <c r="K808" s="280"/>
      <c r="L808" s="178"/>
      <c r="M808" s="179"/>
    </row>
    <row r="809" spans="1:13" s="177" customFormat="1" ht="35.1" customHeight="1" x14ac:dyDescent="0.3">
      <c r="A809" s="287"/>
      <c r="B809" s="278"/>
      <c r="C809" s="186"/>
      <c r="D809" s="193" t="s">
        <v>478</v>
      </c>
      <c r="E809" s="196">
        <f>3.5+1</f>
        <v>4.5</v>
      </c>
      <c r="F809" s="279" t="s">
        <v>64</v>
      </c>
      <c r="G809" s="19"/>
      <c r="H809" s="20"/>
      <c r="J809" s="178"/>
      <c r="K809" s="280"/>
      <c r="L809" s="178"/>
      <c r="M809" s="179"/>
    </row>
    <row r="810" spans="1:13" s="177" customFormat="1" ht="35.1" customHeight="1" x14ac:dyDescent="0.3">
      <c r="A810" s="287"/>
      <c r="B810" s="278"/>
      <c r="C810" s="186"/>
      <c r="D810" s="193" t="s">
        <v>450</v>
      </c>
      <c r="E810" s="196">
        <f>2.5</f>
        <v>2.5</v>
      </c>
      <c r="F810" s="279" t="s">
        <v>64</v>
      </c>
      <c r="G810" s="19"/>
      <c r="H810" s="20"/>
      <c r="J810" s="178"/>
      <c r="K810" s="280"/>
      <c r="L810" s="178"/>
      <c r="M810" s="179"/>
    </row>
    <row r="811" spans="1:13" s="177" customFormat="1" ht="35.1" customHeight="1" x14ac:dyDescent="0.3">
      <c r="A811" s="287"/>
      <c r="B811" s="278"/>
      <c r="C811" s="186"/>
      <c r="D811" s="193" t="s">
        <v>445</v>
      </c>
      <c r="E811" s="196">
        <f>2.5</f>
        <v>2.5</v>
      </c>
      <c r="F811" s="279" t="s">
        <v>64</v>
      </c>
      <c r="G811" s="19"/>
      <c r="H811" s="20"/>
      <c r="J811" s="178"/>
      <c r="K811" s="280"/>
      <c r="L811" s="178"/>
      <c r="M811" s="179"/>
    </row>
    <row r="812" spans="1:13" s="177" customFormat="1" ht="35.1" customHeight="1" x14ac:dyDescent="0.3">
      <c r="A812" s="287"/>
      <c r="B812" s="278"/>
      <c r="C812" s="186"/>
      <c r="D812" s="288" t="s">
        <v>358</v>
      </c>
      <c r="E812" s="294">
        <f>SUM(E788:E811)</f>
        <v>73</v>
      </c>
      <c r="F812" s="295" t="s">
        <v>64</v>
      </c>
      <c r="G812" s="19"/>
      <c r="H812" s="20"/>
      <c r="J812" s="178"/>
      <c r="K812" s="280"/>
      <c r="L812" s="178"/>
      <c r="M812" s="179"/>
    </row>
    <row r="813" spans="1:13" s="177" customFormat="1" ht="35.1" customHeight="1" x14ac:dyDescent="0.3">
      <c r="A813" s="287"/>
      <c r="B813" s="278"/>
      <c r="C813" s="186"/>
      <c r="D813" s="183"/>
      <c r="E813" s="187"/>
      <c r="F813" s="188"/>
      <c r="G813" s="19"/>
      <c r="H813" s="20"/>
      <c r="J813" s="178"/>
      <c r="K813" s="280"/>
      <c r="L813" s="178"/>
      <c r="M813" s="179"/>
    </row>
    <row r="814" spans="1:13" s="177" customFormat="1" ht="35.1" customHeight="1" x14ac:dyDescent="0.3">
      <c r="A814" s="287"/>
      <c r="B814" s="278"/>
      <c r="C814" s="186"/>
      <c r="D814" s="193" t="s">
        <v>360</v>
      </c>
      <c r="E814" s="187"/>
      <c r="F814" s="188"/>
      <c r="G814" s="19"/>
      <c r="H814" s="20"/>
      <c r="J814" s="178"/>
      <c r="K814" s="280"/>
      <c r="L814" s="178"/>
      <c r="M814" s="179"/>
    </row>
    <row r="815" spans="1:13" s="177" customFormat="1" ht="35.1" customHeight="1" x14ac:dyDescent="0.3">
      <c r="A815" s="287"/>
      <c r="B815" s="278"/>
      <c r="C815" s="186"/>
      <c r="D815" s="193" t="s">
        <v>451</v>
      </c>
      <c r="E815" s="196">
        <v>3.5</v>
      </c>
      <c r="F815" s="279" t="s">
        <v>64</v>
      </c>
      <c r="G815" s="19"/>
      <c r="H815" s="20"/>
      <c r="J815" s="178"/>
      <c r="K815" s="280"/>
      <c r="L815" s="178"/>
      <c r="M815" s="179"/>
    </row>
    <row r="816" spans="1:13" s="177" customFormat="1" ht="35.1" customHeight="1" x14ac:dyDescent="0.3">
      <c r="A816" s="287"/>
      <c r="B816" s="278"/>
      <c r="C816" s="186"/>
      <c r="D816" s="193" t="s">
        <v>452</v>
      </c>
      <c r="E816" s="196">
        <v>2.5</v>
      </c>
      <c r="F816" s="279" t="s">
        <v>64</v>
      </c>
      <c r="G816" s="19"/>
      <c r="H816" s="20"/>
      <c r="J816" s="178"/>
      <c r="K816" s="280"/>
      <c r="L816" s="178"/>
      <c r="M816" s="179"/>
    </row>
    <row r="817" spans="1:13" s="177" customFormat="1" ht="35.1" customHeight="1" x14ac:dyDescent="0.3">
      <c r="A817" s="287"/>
      <c r="B817" s="278"/>
      <c r="C817" s="186"/>
      <c r="D817" s="193" t="s">
        <v>453</v>
      </c>
      <c r="E817" s="196">
        <v>3.5</v>
      </c>
      <c r="F817" s="279" t="s">
        <v>64</v>
      </c>
      <c r="G817" s="19"/>
      <c r="H817" s="20"/>
      <c r="J817" s="178"/>
      <c r="K817" s="280"/>
      <c r="L817" s="178"/>
      <c r="M817" s="179"/>
    </row>
    <row r="818" spans="1:13" s="177" customFormat="1" ht="35.1" customHeight="1" x14ac:dyDescent="0.3">
      <c r="A818" s="287"/>
      <c r="B818" s="278"/>
      <c r="C818" s="186"/>
      <c r="D818" s="193" t="s">
        <v>479</v>
      </c>
      <c r="E818" s="196">
        <f>3.5+1</f>
        <v>4.5</v>
      </c>
      <c r="F818" s="279" t="s">
        <v>64</v>
      </c>
      <c r="G818" s="19"/>
      <c r="H818" s="20"/>
      <c r="J818" s="178"/>
      <c r="K818" s="280"/>
      <c r="L818" s="178"/>
      <c r="M818" s="179"/>
    </row>
    <row r="819" spans="1:13" s="177" customFormat="1" ht="35.1" customHeight="1" x14ac:dyDescent="0.3">
      <c r="A819" s="287"/>
      <c r="B819" s="278"/>
      <c r="C819" s="186"/>
      <c r="D819" s="193" t="s">
        <v>454</v>
      </c>
      <c r="E819" s="196">
        <v>3.5</v>
      </c>
      <c r="F819" s="279" t="s">
        <v>64</v>
      </c>
      <c r="G819" s="19"/>
      <c r="H819" s="20"/>
      <c r="J819" s="178"/>
      <c r="K819" s="280"/>
      <c r="L819" s="178"/>
      <c r="M819" s="179"/>
    </row>
    <row r="820" spans="1:13" s="177" customFormat="1" ht="35.1" customHeight="1" x14ac:dyDescent="0.3">
      <c r="A820" s="287"/>
      <c r="B820" s="278"/>
      <c r="C820" s="186"/>
      <c r="D820" s="193" t="s">
        <v>455</v>
      </c>
      <c r="E820" s="196">
        <v>2.5</v>
      </c>
      <c r="F820" s="279" t="s">
        <v>64</v>
      </c>
      <c r="G820" s="19"/>
      <c r="H820" s="20"/>
      <c r="J820" s="178"/>
      <c r="K820" s="280"/>
      <c r="L820" s="178"/>
      <c r="M820" s="179"/>
    </row>
    <row r="821" spans="1:13" s="177" customFormat="1" ht="35.1" customHeight="1" x14ac:dyDescent="0.3">
      <c r="A821" s="287"/>
      <c r="B821" s="278"/>
      <c r="C821" s="186"/>
      <c r="D821" s="193" t="s">
        <v>457</v>
      </c>
      <c r="E821" s="196">
        <v>3.5</v>
      </c>
      <c r="F821" s="279" t="s">
        <v>64</v>
      </c>
      <c r="G821" s="19"/>
      <c r="H821" s="20"/>
      <c r="J821" s="178"/>
      <c r="K821" s="280"/>
      <c r="L821" s="178"/>
      <c r="M821" s="179"/>
    </row>
    <row r="822" spans="1:13" s="177" customFormat="1" ht="35.1" customHeight="1" x14ac:dyDescent="0.3">
      <c r="A822" s="287"/>
      <c r="B822" s="278"/>
      <c r="C822" s="186"/>
      <c r="D822" s="193" t="s">
        <v>456</v>
      </c>
      <c r="E822" s="196">
        <v>2.5</v>
      </c>
      <c r="F822" s="279" t="s">
        <v>64</v>
      </c>
      <c r="G822" s="19"/>
      <c r="H822" s="20"/>
      <c r="J822" s="178"/>
      <c r="K822" s="280"/>
      <c r="L822" s="178"/>
      <c r="M822" s="179"/>
    </row>
    <row r="823" spans="1:13" s="177" customFormat="1" ht="35.1" customHeight="1" x14ac:dyDescent="0.3">
      <c r="A823" s="287"/>
      <c r="B823" s="278"/>
      <c r="C823" s="186"/>
      <c r="D823" s="193" t="s">
        <v>466</v>
      </c>
      <c r="E823" s="196">
        <v>3.5</v>
      </c>
      <c r="F823" s="279" t="s">
        <v>64</v>
      </c>
      <c r="G823" s="19"/>
      <c r="H823" s="20"/>
      <c r="J823" s="178"/>
      <c r="K823" s="280"/>
      <c r="L823" s="178"/>
      <c r="M823" s="179"/>
    </row>
    <row r="824" spans="1:13" s="177" customFormat="1" ht="35.1" customHeight="1" x14ac:dyDescent="0.3">
      <c r="A824" s="287"/>
      <c r="B824" s="278"/>
      <c r="C824" s="186"/>
      <c r="D824" s="193" t="s">
        <v>480</v>
      </c>
      <c r="E824" s="196">
        <f>3.5+1</f>
        <v>4.5</v>
      </c>
      <c r="F824" s="279" t="s">
        <v>64</v>
      </c>
      <c r="G824" s="19"/>
      <c r="H824" s="20"/>
      <c r="J824" s="178"/>
      <c r="K824" s="280"/>
      <c r="L824" s="178"/>
      <c r="M824" s="179"/>
    </row>
    <row r="825" spans="1:13" s="177" customFormat="1" ht="35.1" customHeight="1" x14ac:dyDescent="0.3">
      <c r="A825" s="287"/>
      <c r="B825" s="278"/>
      <c r="C825" s="186"/>
      <c r="D825" s="193" t="s">
        <v>465</v>
      </c>
      <c r="E825" s="196">
        <v>3.5</v>
      </c>
      <c r="F825" s="279" t="s">
        <v>64</v>
      </c>
      <c r="G825" s="19"/>
      <c r="H825" s="20"/>
      <c r="J825" s="178"/>
      <c r="K825" s="280"/>
      <c r="L825" s="178"/>
      <c r="M825" s="179"/>
    </row>
    <row r="826" spans="1:13" s="177" customFormat="1" ht="35.1" customHeight="1" x14ac:dyDescent="0.3">
      <c r="A826" s="287"/>
      <c r="B826" s="278"/>
      <c r="C826" s="186"/>
      <c r="D826" s="193" t="s">
        <v>458</v>
      </c>
      <c r="E826" s="196">
        <v>2.5</v>
      </c>
      <c r="F826" s="279" t="s">
        <v>64</v>
      </c>
      <c r="G826" s="19"/>
      <c r="H826" s="20"/>
      <c r="J826" s="178"/>
      <c r="K826" s="280"/>
      <c r="L826" s="178"/>
      <c r="M826" s="179"/>
    </row>
    <row r="827" spans="1:13" s="177" customFormat="1" ht="35.1" customHeight="1" x14ac:dyDescent="0.3">
      <c r="A827" s="287"/>
      <c r="B827" s="278"/>
      <c r="C827" s="186"/>
      <c r="D827" s="193" t="s">
        <v>464</v>
      </c>
      <c r="E827" s="196">
        <f>3.5</f>
        <v>3.5</v>
      </c>
      <c r="F827" s="279" t="s">
        <v>64</v>
      </c>
      <c r="G827" s="19"/>
      <c r="H827" s="20"/>
      <c r="J827" s="178"/>
      <c r="K827" s="280"/>
      <c r="L827" s="178"/>
      <c r="M827" s="179"/>
    </row>
    <row r="828" spans="1:13" s="177" customFormat="1" ht="35.1" customHeight="1" x14ac:dyDescent="0.3">
      <c r="A828" s="287"/>
      <c r="B828" s="278"/>
      <c r="C828" s="186"/>
      <c r="D828" s="193" t="s">
        <v>481</v>
      </c>
      <c r="E828" s="196">
        <f>3.5+1</f>
        <v>4.5</v>
      </c>
      <c r="F828" s="279" t="s">
        <v>64</v>
      </c>
      <c r="G828" s="19"/>
      <c r="H828" s="20"/>
      <c r="J828" s="178"/>
      <c r="K828" s="280"/>
      <c r="L828" s="178"/>
      <c r="M828" s="179"/>
    </row>
    <row r="829" spans="1:13" s="177" customFormat="1" ht="35.1" customHeight="1" x14ac:dyDescent="0.3">
      <c r="A829" s="287"/>
      <c r="B829" s="278"/>
      <c r="C829" s="186"/>
      <c r="D829" s="193" t="s">
        <v>463</v>
      </c>
      <c r="E829" s="196">
        <f>3.5</f>
        <v>3.5</v>
      </c>
      <c r="F829" s="279" t="s">
        <v>64</v>
      </c>
      <c r="G829" s="19"/>
      <c r="H829" s="20"/>
      <c r="J829" s="178"/>
      <c r="K829" s="280"/>
      <c r="L829" s="178"/>
      <c r="M829" s="179"/>
    </row>
    <row r="830" spans="1:13" s="177" customFormat="1" ht="35.1" customHeight="1" x14ac:dyDescent="0.3">
      <c r="A830" s="287"/>
      <c r="B830" s="278"/>
      <c r="C830" s="186"/>
      <c r="D830" s="193" t="s">
        <v>459</v>
      </c>
      <c r="E830" s="196">
        <v>2.5</v>
      </c>
      <c r="F830" s="279" t="s">
        <v>64</v>
      </c>
      <c r="G830" s="19"/>
      <c r="H830" s="20"/>
      <c r="J830" s="178"/>
      <c r="K830" s="280"/>
      <c r="L830" s="178"/>
      <c r="M830" s="179"/>
    </row>
    <row r="831" spans="1:13" s="177" customFormat="1" ht="35.1" customHeight="1" x14ac:dyDescent="0.3">
      <c r="A831" s="287"/>
      <c r="B831" s="278"/>
      <c r="C831" s="186"/>
      <c r="D831" s="193" t="s">
        <v>462</v>
      </c>
      <c r="E831" s="196">
        <v>3.5</v>
      </c>
      <c r="F831" s="279" t="s">
        <v>64</v>
      </c>
      <c r="G831" s="19"/>
      <c r="H831" s="20"/>
      <c r="J831" s="178"/>
      <c r="K831" s="280"/>
      <c r="L831" s="178"/>
      <c r="M831" s="179"/>
    </row>
    <row r="832" spans="1:13" s="177" customFormat="1" ht="35.1" customHeight="1" x14ac:dyDescent="0.3">
      <c r="A832" s="287"/>
      <c r="B832" s="278"/>
      <c r="C832" s="186"/>
      <c r="D832" s="193" t="s">
        <v>482</v>
      </c>
      <c r="E832" s="196">
        <f>3.5+1</f>
        <v>4.5</v>
      </c>
      <c r="F832" s="279" t="s">
        <v>64</v>
      </c>
      <c r="G832" s="19"/>
      <c r="H832" s="20"/>
      <c r="J832" s="178"/>
      <c r="K832" s="280"/>
      <c r="L832" s="178"/>
      <c r="M832" s="179"/>
    </row>
    <row r="833" spans="1:13" s="177" customFormat="1" ht="35.1" customHeight="1" x14ac:dyDescent="0.3">
      <c r="A833" s="287"/>
      <c r="B833" s="278"/>
      <c r="C833" s="186"/>
      <c r="D833" s="193" t="s">
        <v>461</v>
      </c>
      <c r="E833" s="196">
        <v>3.5</v>
      </c>
      <c r="F833" s="279" t="s">
        <v>64</v>
      </c>
      <c r="G833" s="19"/>
      <c r="H833" s="20"/>
      <c r="J833" s="178"/>
      <c r="K833" s="280"/>
      <c r="L833" s="178"/>
      <c r="M833" s="179"/>
    </row>
    <row r="834" spans="1:13" s="177" customFormat="1" ht="35.1" customHeight="1" x14ac:dyDescent="0.3">
      <c r="A834" s="287"/>
      <c r="B834" s="278"/>
      <c r="C834" s="186"/>
      <c r="D834" s="193" t="s">
        <v>460</v>
      </c>
      <c r="E834" s="196">
        <v>2.5</v>
      </c>
      <c r="F834" s="279" t="s">
        <v>64</v>
      </c>
      <c r="G834" s="19"/>
      <c r="H834" s="20"/>
      <c r="J834" s="178"/>
      <c r="K834" s="280"/>
      <c r="L834" s="178"/>
      <c r="M834" s="179"/>
    </row>
    <row r="835" spans="1:13" s="177" customFormat="1" ht="35.1" customHeight="1" x14ac:dyDescent="0.3">
      <c r="A835" s="287"/>
      <c r="B835" s="278"/>
      <c r="C835" s="186"/>
      <c r="D835" s="193" t="s">
        <v>468</v>
      </c>
      <c r="E835" s="196">
        <v>3.5</v>
      </c>
      <c r="F835" s="279" t="s">
        <v>64</v>
      </c>
      <c r="G835" s="19"/>
      <c r="H835" s="20"/>
      <c r="J835" s="178"/>
      <c r="K835" s="280"/>
      <c r="L835" s="178"/>
      <c r="M835" s="179"/>
    </row>
    <row r="836" spans="1:13" s="177" customFormat="1" ht="35.1" customHeight="1" x14ac:dyDescent="0.3">
      <c r="A836" s="287"/>
      <c r="B836" s="278"/>
      <c r="C836" s="186"/>
      <c r="D836" s="193" t="s">
        <v>467</v>
      </c>
      <c r="E836" s="196">
        <v>2.5</v>
      </c>
      <c r="F836" s="279" t="s">
        <v>64</v>
      </c>
      <c r="G836" s="19"/>
      <c r="H836" s="20"/>
      <c r="J836" s="178"/>
      <c r="K836" s="280"/>
      <c r="L836" s="178"/>
      <c r="M836" s="179"/>
    </row>
    <row r="837" spans="1:13" s="177" customFormat="1" ht="35.1" customHeight="1" x14ac:dyDescent="0.3">
      <c r="A837" s="287"/>
      <c r="B837" s="278"/>
      <c r="C837" s="186"/>
      <c r="D837" s="193" t="s">
        <v>469</v>
      </c>
      <c r="E837" s="196">
        <v>3.5</v>
      </c>
      <c r="F837" s="279" t="s">
        <v>64</v>
      </c>
      <c r="G837" s="19"/>
      <c r="H837" s="20"/>
      <c r="J837" s="178"/>
      <c r="K837" s="280"/>
      <c r="L837" s="178"/>
      <c r="M837" s="179"/>
    </row>
    <row r="838" spans="1:13" s="177" customFormat="1" ht="35.1" customHeight="1" x14ac:dyDescent="0.3">
      <c r="A838" s="287"/>
      <c r="B838" s="278"/>
      <c r="C838" s="186"/>
      <c r="D838" s="193" t="s">
        <v>483</v>
      </c>
      <c r="E838" s="196">
        <f>3.5+1</f>
        <v>4.5</v>
      </c>
      <c r="F838" s="279" t="s">
        <v>64</v>
      </c>
      <c r="G838" s="19"/>
      <c r="H838" s="20"/>
      <c r="J838" s="178"/>
      <c r="K838" s="280"/>
      <c r="L838" s="178"/>
      <c r="M838" s="179"/>
    </row>
    <row r="839" spans="1:13" s="177" customFormat="1" ht="35.1" customHeight="1" x14ac:dyDescent="0.3">
      <c r="A839" s="287"/>
      <c r="B839" s="278"/>
      <c r="C839" s="186"/>
      <c r="D839" s="193" t="s">
        <v>471</v>
      </c>
      <c r="E839" s="196">
        <v>3.5</v>
      </c>
      <c r="F839" s="279" t="s">
        <v>64</v>
      </c>
      <c r="G839" s="19"/>
      <c r="H839" s="20"/>
      <c r="J839" s="178"/>
      <c r="K839" s="280"/>
      <c r="L839" s="178"/>
      <c r="M839" s="179"/>
    </row>
    <row r="840" spans="1:13" s="177" customFormat="1" ht="35.1" customHeight="1" x14ac:dyDescent="0.3">
      <c r="A840" s="287"/>
      <c r="B840" s="278"/>
      <c r="C840" s="186"/>
      <c r="D840" s="193" t="s">
        <v>484</v>
      </c>
      <c r="E840" s="196">
        <f>3.5+1</f>
        <v>4.5</v>
      </c>
      <c r="F840" s="279" t="s">
        <v>64</v>
      </c>
      <c r="G840" s="19"/>
      <c r="H840" s="20"/>
      <c r="J840" s="178"/>
      <c r="K840" s="280"/>
      <c r="L840" s="178"/>
      <c r="M840" s="179"/>
    </row>
    <row r="841" spans="1:13" s="177" customFormat="1" ht="35.1" customHeight="1" x14ac:dyDescent="0.3">
      <c r="A841" s="287"/>
      <c r="B841" s="278"/>
      <c r="C841" s="186"/>
      <c r="D841" s="193" t="s">
        <v>472</v>
      </c>
      <c r="E841" s="196">
        <v>3.5</v>
      </c>
      <c r="F841" s="279" t="s">
        <v>64</v>
      </c>
      <c r="G841" s="19"/>
      <c r="H841" s="20"/>
      <c r="J841" s="178"/>
      <c r="K841" s="280"/>
      <c r="L841" s="178"/>
      <c r="M841" s="179"/>
    </row>
    <row r="842" spans="1:13" s="177" customFormat="1" ht="35.1" customHeight="1" x14ac:dyDescent="0.3">
      <c r="A842" s="287"/>
      <c r="B842" s="278"/>
      <c r="C842" s="186"/>
      <c r="D842" s="193" t="s">
        <v>470</v>
      </c>
      <c r="E842" s="196">
        <v>2.5</v>
      </c>
      <c r="F842" s="279" t="s">
        <v>64</v>
      </c>
      <c r="G842" s="19"/>
      <c r="H842" s="20"/>
      <c r="J842" s="178"/>
      <c r="K842" s="280"/>
      <c r="L842" s="178"/>
      <c r="M842" s="179"/>
    </row>
    <row r="843" spans="1:13" s="177" customFormat="1" ht="35.1" customHeight="1" x14ac:dyDescent="0.3">
      <c r="A843" s="287"/>
      <c r="B843" s="278"/>
      <c r="C843" s="186"/>
      <c r="D843" s="288" t="s">
        <v>361</v>
      </c>
      <c r="E843" s="294">
        <f>SUM(E815:E842)</f>
        <v>96</v>
      </c>
      <c r="F843" s="295" t="s">
        <v>64</v>
      </c>
      <c r="G843" s="19"/>
      <c r="H843" s="20"/>
      <c r="J843" s="178"/>
      <c r="K843" s="280"/>
      <c r="L843" s="178"/>
      <c r="M843" s="179"/>
    </row>
    <row r="844" spans="1:13" s="177" customFormat="1" ht="35.1" customHeight="1" x14ac:dyDescent="0.3">
      <c r="A844" s="287"/>
      <c r="B844" s="278"/>
      <c r="C844" s="186"/>
      <c r="D844" s="183"/>
      <c r="E844" s="187"/>
      <c r="F844" s="188"/>
      <c r="G844" s="19"/>
      <c r="H844" s="20"/>
      <c r="J844" s="178"/>
      <c r="K844" s="280"/>
      <c r="L844" s="178"/>
      <c r="M844" s="179"/>
    </row>
    <row r="845" spans="1:13" s="177" customFormat="1" ht="35.1" customHeight="1" x14ac:dyDescent="0.3">
      <c r="A845" s="287"/>
      <c r="B845" s="278"/>
      <c r="C845" s="186"/>
      <c r="D845" s="193" t="s">
        <v>809</v>
      </c>
      <c r="E845" s="196">
        <v>12</v>
      </c>
      <c r="F845" s="279" t="s">
        <v>64</v>
      </c>
      <c r="G845" s="19"/>
      <c r="H845" s="20"/>
      <c r="J845" s="178"/>
      <c r="K845" s="280"/>
      <c r="L845" s="178"/>
      <c r="M845" s="179"/>
    </row>
    <row r="846" spans="1:13" s="177" customFormat="1" ht="35.1" customHeight="1" x14ac:dyDescent="0.3">
      <c r="A846" s="287"/>
      <c r="B846" s="278"/>
      <c r="C846" s="186"/>
      <c r="D846" s="291" t="s">
        <v>18</v>
      </c>
      <c r="E846" s="292">
        <f>E845+E843+E812</f>
        <v>181</v>
      </c>
      <c r="F846" s="293" t="s">
        <v>64</v>
      </c>
      <c r="G846" s="98"/>
      <c r="H846" s="20"/>
      <c r="J846" s="178"/>
      <c r="K846" s="280"/>
      <c r="L846" s="178"/>
      <c r="M846" s="179"/>
    </row>
    <row r="847" spans="1:13" s="177" customFormat="1" ht="35.1" customHeight="1" x14ac:dyDescent="0.3">
      <c r="A847" s="287"/>
      <c r="B847" s="278"/>
      <c r="C847" s="186"/>
      <c r="D847" s="193"/>
      <c r="E847" s="196"/>
      <c r="F847" s="279"/>
      <c r="G847" s="19"/>
      <c r="H847" s="20"/>
      <c r="J847" s="178"/>
      <c r="K847" s="280"/>
      <c r="L847" s="178"/>
      <c r="M847" s="179"/>
    </row>
    <row r="848" spans="1:13" s="177" customFormat="1" ht="35.1" customHeight="1" x14ac:dyDescent="0.3">
      <c r="A848" s="164">
        <v>82</v>
      </c>
      <c r="B848" s="165" t="s">
        <v>47</v>
      </c>
      <c r="C848" s="166" t="s">
        <v>279</v>
      </c>
      <c r="D848" s="167" t="s">
        <v>142</v>
      </c>
      <c r="E848" s="168">
        <f>E849</f>
        <v>31</v>
      </c>
      <c r="F848" s="169" t="s">
        <v>67</v>
      </c>
      <c r="G848" s="42"/>
      <c r="H848" s="43">
        <f t="shared" si="53"/>
        <v>0</v>
      </c>
      <c r="J848" s="178">
        <f>6*2.9/1000</f>
        <v>1.7399999999999999E-2</v>
      </c>
      <c r="K848" s="280">
        <f t="shared" ref="K848:K925" si="54">E848*J848</f>
        <v>0.53939999999999999</v>
      </c>
      <c r="L848" s="178"/>
      <c r="M848" s="179"/>
    </row>
    <row r="849" spans="1:13" s="177" customFormat="1" ht="35.1" customHeight="1" x14ac:dyDescent="0.3">
      <c r="A849" s="180"/>
      <c r="B849" s="181"/>
      <c r="C849" s="182"/>
      <c r="D849" s="183" t="s">
        <v>810</v>
      </c>
      <c r="E849" s="184">
        <v>31</v>
      </c>
      <c r="F849" s="185" t="s">
        <v>67</v>
      </c>
      <c r="G849" s="27"/>
      <c r="H849" s="20"/>
      <c r="I849" s="309"/>
      <c r="J849" s="277"/>
      <c r="K849" s="280"/>
      <c r="L849" s="178"/>
      <c r="M849" s="179"/>
    </row>
    <row r="850" spans="1:13" s="177" customFormat="1" ht="35.1" customHeight="1" x14ac:dyDescent="0.3">
      <c r="A850" s="180"/>
      <c r="B850" s="181"/>
      <c r="C850" s="182"/>
      <c r="D850" s="183"/>
      <c r="E850" s="184"/>
      <c r="F850" s="185"/>
      <c r="G850" s="27"/>
      <c r="H850" s="20"/>
      <c r="I850" s="309"/>
      <c r="J850" s="277"/>
      <c r="K850" s="280"/>
      <c r="L850" s="178"/>
      <c r="M850" s="179"/>
    </row>
    <row r="851" spans="1:13" s="177" customFormat="1" ht="35.1" customHeight="1" x14ac:dyDescent="0.3">
      <c r="A851" s="13">
        <v>83</v>
      </c>
      <c r="B851" s="278" t="s">
        <v>12</v>
      </c>
      <c r="C851" s="186" t="s">
        <v>868</v>
      </c>
      <c r="D851" s="193" t="s">
        <v>887</v>
      </c>
      <c r="E851" s="196">
        <f>E854</f>
        <v>34.5</v>
      </c>
      <c r="F851" s="279" t="s">
        <v>64</v>
      </c>
      <c r="G851" s="19"/>
      <c r="H851" s="20">
        <f>E851*G851</f>
        <v>0</v>
      </c>
      <c r="I851" s="310"/>
      <c r="J851" s="279" t="s">
        <v>64</v>
      </c>
      <c r="K851" s="280"/>
      <c r="L851" s="178"/>
      <c r="M851" s="179"/>
    </row>
    <row r="852" spans="1:13" s="177" customFormat="1" ht="35.1" customHeight="1" x14ac:dyDescent="0.3">
      <c r="A852" s="180"/>
      <c r="B852" s="278"/>
      <c r="C852" s="186"/>
      <c r="D852" s="193" t="s">
        <v>879</v>
      </c>
      <c r="E852" s="196">
        <f>11*1.5</f>
        <v>16.5</v>
      </c>
      <c r="F852" s="279" t="s">
        <v>64</v>
      </c>
      <c r="G852" s="19"/>
      <c r="H852" s="20"/>
      <c r="I852" s="310"/>
      <c r="J852" s="279"/>
      <c r="K852" s="280"/>
      <c r="L852" s="178"/>
      <c r="M852" s="179"/>
    </row>
    <row r="853" spans="1:13" s="177" customFormat="1" ht="35.1" customHeight="1" x14ac:dyDescent="0.3">
      <c r="A853" s="180"/>
      <c r="B853" s="278"/>
      <c r="C853" s="186"/>
      <c r="D853" s="193" t="s">
        <v>883</v>
      </c>
      <c r="E853" s="196">
        <f>12*1.5</f>
        <v>18</v>
      </c>
      <c r="F853" s="279" t="s">
        <v>64</v>
      </c>
      <c r="G853" s="19"/>
      <c r="H853" s="20"/>
      <c r="I853" s="310"/>
      <c r="J853" s="279"/>
      <c r="K853" s="280"/>
      <c r="L853" s="178"/>
      <c r="M853" s="179"/>
    </row>
    <row r="854" spans="1:13" s="177" customFormat="1" ht="35.1" customHeight="1" x14ac:dyDescent="0.3">
      <c r="A854" s="180"/>
      <c r="B854" s="278"/>
      <c r="C854" s="186"/>
      <c r="D854" s="193" t="s">
        <v>18</v>
      </c>
      <c r="E854" s="196">
        <f>SUM(E852:E853)</f>
        <v>34.5</v>
      </c>
      <c r="F854" s="279" t="s">
        <v>64</v>
      </c>
      <c r="G854" s="19"/>
      <c r="H854" s="20"/>
      <c r="I854" s="310"/>
      <c r="J854" s="279"/>
      <c r="K854" s="280"/>
      <c r="L854" s="178"/>
      <c r="M854" s="179"/>
    </row>
    <row r="855" spans="1:13" s="177" customFormat="1" ht="35.1" customHeight="1" x14ac:dyDescent="0.3">
      <c r="A855" s="180"/>
      <c r="B855" s="278"/>
      <c r="C855" s="186"/>
      <c r="D855" s="193"/>
      <c r="E855" s="196"/>
      <c r="F855" s="279"/>
      <c r="G855" s="19"/>
      <c r="H855" s="20"/>
      <c r="I855" s="310"/>
      <c r="J855" s="279"/>
      <c r="K855" s="280"/>
      <c r="L855" s="178"/>
      <c r="M855" s="179"/>
    </row>
    <row r="856" spans="1:13" s="177" customFormat="1" ht="35.1" customHeight="1" x14ac:dyDescent="0.3">
      <c r="A856" s="164">
        <v>84</v>
      </c>
      <c r="B856" s="165" t="s">
        <v>47</v>
      </c>
      <c r="C856" s="166" t="s">
        <v>112</v>
      </c>
      <c r="D856" s="167" t="s">
        <v>869</v>
      </c>
      <c r="E856" s="168">
        <f>34.5/5+0.1</f>
        <v>7</v>
      </c>
      <c r="F856" s="169" t="s">
        <v>67</v>
      </c>
      <c r="G856" s="42"/>
      <c r="H856" s="43">
        <f>E856*G856</f>
        <v>0</v>
      </c>
      <c r="I856" s="312"/>
      <c r="J856" s="169" t="s">
        <v>67</v>
      </c>
      <c r="K856" s="280"/>
      <c r="L856" s="178"/>
      <c r="M856" s="179"/>
    </row>
    <row r="857" spans="1:13" s="177" customFormat="1" ht="35.1" customHeight="1" x14ac:dyDescent="0.3">
      <c r="A857" s="180"/>
      <c r="B857" s="278"/>
      <c r="C857" s="186"/>
      <c r="D857" s="193"/>
      <c r="E857" s="196"/>
      <c r="F857" s="279"/>
      <c r="G857" s="19"/>
      <c r="H857" s="20"/>
      <c r="I857" s="310"/>
      <c r="J857" s="279"/>
      <c r="K857" s="280"/>
      <c r="L857" s="178"/>
      <c r="M857" s="179"/>
    </row>
    <row r="858" spans="1:13" s="177" customFormat="1" ht="35.1" customHeight="1" x14ac:dyDescent="0.3">
      <c r="A858" s="13">
        <v>85</v>
      </c>
      <c r="B858" s="278" t="s">
        <v>12</v>
      </c>
      <c r="C858" s="186" t="s">
        <v>870</v>
      </c>
      <c r="D858" s="193" t="s">
        <v>871</v>
      </c>
      <c r="E858" s="196">
        <f>E860</f>
        <v>12</v>
      </c>
      <c r="F858" s="279" t="s">
        <v>67</v>
      </c>
      <c r="G858" s="19"/>
      <c r="H858" s="20">
        <f>E858*G858</f>
        <v>0</v>
      </c>
      <c r="I858" s="310"/>
      <c r="J858" s="279" t="s">
        <v>67</v>
      </c>
      <c r="K858" s="280"/>
      <c r="L858" s="178"/>
      <c r="M858" s="179"/>
    </row>
    <row r="859" spans="1:13" s="177" customFormat="1" ht="35.1" customHeight="1" x14ac:dyDescent="0.3">
      <c r="A859" s="180"/>
      <c r="B859" s="181"/>
      <c r="C859" s="182"/>
      <c r="D859" s="183"/>
      <c r="E859" s="184"/>
      <c r="F859" s="185"/>
      <c r="G859" s="27"/>
      <c r="H859" s="282"/>
      <c r="I859" s="311"/>
      <c r="J859" s="185"/>
      <c r="K859" s="280"/>
      <c r="L859" s="178"/>
      <c r="M859" s="179"/>
    </row>
    <row r="860" spans="1:13" s="177" customFormat="1" ht="35.1" customHeight="1" x14ac:dyDescent="0.3">
      <c r="A860" s="164">
        <v>86</v>
      </c>
      <c r="B860" s="165" t="s">
        <v>47</v>
      </c>
      <c r="C860" s="166" t="s">
        <v>872</v>
      </c>
      <c r="D860" s="167" t="s">
        <v>890</v>
      </c>
      <c r="E860" s="168">
        <f>E861</f>
        <v>12</v>
      </c>
      <c r="F860" s="169" t="s">
        <v>67</v>
      </c>
      <c r="G860" s="42"/>
      <c r="H860" s="43">
        <f>E860*G860</f>
        <v>0</v>
      </c>
      <c r="I860" s="312"/>
      <c r="J860" s="169" t="s">
        <v>67</v>
      </c>
      <c r="K860" s="280"/>
      <c r="L860" s="178"/>
      <c r="M860" s="179"/>
    </row>
    <row r="861" spans="1:13" s="177" customFormat="1" ht="35.1" customHeight="1" x14ac:dyDescent="0.3">
      <c r="A861" s="180"/>
      <c r="B861" s="278"/>
      <c r="C861" s="186"/>
      <c r="D861" s="193" t="s">
        <v>882</v>
      </c>
      <c r="E861" s="184">
        <v>12</v>
      </c>
      <c r="F861" s="185" t="s">
        <v>67</v>
      </c>
      <c r="G861" s="19"/>
      <c r="H861" s="20"/>
      <c r="I861" s="310"/>
      <c r="J861" s="279"/>
      <c r="K861" s="280"/>
      <c r="L861" s="178"/>
      <c r="M861" s="179"/>
    </row>
    <row r="862" spans="1:13" s="177" customFormat="1" ht="35.1" customHeight="1" x14ac:dyDescent="0.3">
      <c r="A862" s="180"/>
      <c r="B862" s="278"/>
      <c r="C862" s="186"/>
      <c r="D862" s="193"/>
      <c r="E862" s="196"/>
      <c r="F862" s="279"/>
      <c r="G862" s="19"/>
      <c r="H862" s="20"/>
      <c r="I862" s="281"/>
      <c r="J862" s="279"/>
      <c r="K862" s="280"/>
      <c r="L862" s="178"/>
      <c r="M862" s="179"/>
    </row>
    <row r="863" spans="1:13" s="177" customFormat="1" ht="35.1" customHeight="1" x14ac:dyDescent="0.3">
      <c r="A863" s="287">
        <v>87</v>
      </c>
      <c r="B863" s="278" t="s">
        <v>12</v>
      </c>
      <c r="C863" s="186" t="s">
        <v>220</v>
      </c>
      <c r="D863" s="193" t="s">
        <v>221</v>
      </c>
      <c r="E863" s="196">
        <f>E865</f>
        <v>28</v>
      </c>
      <c r="F863" s="279" t="s">
        <v>67</v>
      </c>
      <c r="G863" s="19"/>
      <c r="H863" s="20">
        <f>E863*G863</f>
        <v>0</v>
      </c>
      <c r="J863" s="178"/>
      <c r="K863" s="280">
        <f t="shared" si="54"/>
        <v>0</v>
      </c>
      <c r="L863" s="178"/>
      <c r="M863" s="179"/>
    </row>
    <row r="864" spans="1:13" s="177" customFormat="1" ht="35.1" customHeight="1" x14ac:dyDescent="0.3">
      <c r="A864" s="180"/>
      <c r="B864" s="181"/>
      <c r="C864" s="182"/>
      <c r="D864" s="183"/>
      <c r="E864" s="184"/>
      <c r="F864" s="185"/>
      <c r="G864" s="27"/>
      <c r="H864" s="20"/>
      <c r="I864" s="309"/>
      <c r="J864" s="277"/>
      <c r="K864" s="280"/>
      <c r="L864" s="178"/>
      <c r="M864" s="179"/>
    </row>
    <row r="865" spans="1:13" s="177" customFormat="1" ht="35.1" customHeight="1" x14ac:dyDescent="0.3">
      <c r="A865" s="164">
        <v>88</v>
      </c>
      <c r="B865" s="165" t="s">
        <v>47</v>
      </c>
      <c r="C865" s="166" t="s">
        <v>280</v>
      </c>
      <c r="D865" s="167" t="s">
        <v>222</v>
      </c>
      <c r="E865" s="168">
        <f>E870</f>
        <v>28</v>
      </c>
      <c r="F865" s="169" t="s">
        <v>67</v>
      </c>
      <c r="G865" s="42"/>
      <c r="H865" s="43">
        <f>E865*G865</f>
        <v>0</v>
      </c>
      <c r="I865" s="309"/>
      <c r="J865" s="277">
        <f>16.3/1000</f>
        <v>1.6300000000000002E-2</v>
      </c>
      <c r="K865" s="280">
        <f t="shared" si="54"/>
        <v>0.45640000000000003</v>
      </c>
      <c r="L865" s="178"/>
      <c r="M865" s="179"/>
    </row>
    <row r="866" spans="1:13" s="177" customFormat="1" ht="35.1" customHeight="1" x14ac:dyDescent="0.3">
      <c r="A866" s="180"/>
      <c r="B866" s="181"/>
      <c r="C866" s="182"/>
      <c r="D866" s="193" t="s">
        <v>880</v>
      </c>
      <c r="E866" s="184">
        <v>11</v>
      </c>
      <c r="F866" s="185" t="s">
        <v>67</v>
      </c>
      <c r="G866" s="27"/>
      <c r="H866" s="20"/>
      <c r="I866" s="309"/>
      <c r="J866" s="277"/>
      <c r="K866" s="280"/>
      <c r="L866" s="178"/>
      <c r="M866" s="179"/>
    </row>
    <row r="867" spans="1:13" s="177" customFormat="1" ht="35.1" customHeight="1" x14ac:dyDescent="0.3">
      <c r="A867" s="180"/>
      <c r="B867" s="181"/>
      <c r="C867" s="182"/>
      <c r="D867" s="193" t="s">
        <v>881</v>
      </c>
      <c r="E867" s="184">
        <v>3</v>
      </c>
      <c r="F867" s="185" t="s">
        <v>67</v>
      </c>
      <c r="G867" s="27"/>
      <c r="H867" s="20"/>
      <c r="I867" s="309"/>
      <c r="J867" s="277"/>
      <c r="K867" s="280"/>
      <c r="L867" s="178"/>
      <c r="M867" s="179"/>
    </row>
    <row r="868" spans="1:13" s="177" customFormat="1" ht="35.1" customHeight="1" x14ac:dyDescent="0.3">
      <c r="A868" s="180"/>
      <c r="B868" s="181"/>
      <c r="C868" s="182"/>
      <c r="D868" s="193" t="s">
        <v>882</v>
      </c>
      <c r="E868" s="184">
        <v>12</v>
      </c>
      <c r="F868" s="185" t="s">
        <v>67</v>
      </c>
      <c r="G868" s="27"/>
      <c r="H868" s="20"/>
      <c r="I868" s="309"/>
      <c r="J868" s="277"/>
      <c r="K868" s="280"/>
      <c r="L868" s="178"/>
      <c r="M868" s="179"/>
    </row>
    <row r="869" spans="1:13" s="177" customFormat="1" ht="35.1" customHeight="1" x14ac:dyDescent="0.3">
      <c r="A869" s="180"/>
      <c r="B869" s="181"/>
      <c r="C869" s="182"/>
      <c r="D869" s="183" t="s">
        <v>260</v>
      </c>
      <c r="E869" s="184">
        <v>2</v>
      </c>
      <c r="F869" s="185" t="s">
        <v>67</v>
      </c>
      <c r="G869" s="27"/>
      <c r="H869" s="20"/>
      <c r="I869" s="309"/>
      <c r="J869" s="277"/>
      <c r="K869" s="280"/>
      <c r="L869" s="178"/>
      <c r="M869" s="179"/>
    </row>
    <row r="870" spans="1:13" s="177" customFormat="1" ht="35.1" customHeight="1" x14ac:dyDescent="0.3">
      <c r="A870" s="180"/>
      <c r="B870" s="181"/>
      <c r="C870" s="182"/>
      <c r="D870" s="288" t="s">
        <v>18</v>
      </c>
      <c r="E870" s="289">
        <f>SUM(E866:E869)</f>
        <v>28</v>
      </c>
      <c r="F870" s="290" t="s">
        <v>67</v>
      </c>
      <c r="G870" s="27"/>
      <c r="H870" s="20"/>
      <c r="I870" s="309"/>
      <c r="J870" s="277"/>
      <c r="K870" s="280"/>
      <c r="L870" s="178"/>
      <c r="M870" s="179"/>
    </row>
    <row r="871" spans="1:13" s="177" customFormat="1" ht="35.1" customHeight="1" x14ac:dyDescent="0.3">
      <c r="A871" s="180"/>
      <c r="B871" s="181"/>
      <c r="C871" s="182"/>
      <c r="D871" s="288"/>
      <c r="E871" s="289"/>
      <c r="F871" s="290"/>
      <c r="G871" s="27"/>
      <c r="H871" s="20"/>
      <c r="I871" s="309"/>
      <c r="J871" s="277"/>
      <c r="K871" s="280"/>
      <c r="L871" s="178"/>
      <c r="M871" s="179"/>
    </row>
    <row r="872" spans="1:13" s="177" customFormat="1" ht="35.1" customHeight="1" x14ac:dyDescent="0.3">
      <c r="A872" s="287">
        <v>89</v>
      </c>
      <c r="B872" s="278" t="s">
        <v>12</v>
      </c>
      <c r="C872" s="186" t="s">
        <v>223</v>
      </c>
      <c r="D872" s="193" t="s">
        <v>189</v>
      </c>
      <c r="E872" s="196">
        <f>E874</f>
        <v>2</v>
      </c>
      <c r="F872" s="279" t="s">
        <v>67</v>
      </c>
      <c r="G872" s="19"/>
      <c r="H872" s="20">
        <f t="shared" si="53"/>
        <v>0</v>
      </c>
      <c r="I872" s="309"/>
      <c r="J872" s="277"/>
      <c r="K872" s="280">
        <f t="shared" si="54"/>
        <v>0</v>
      </c>
      <c r="L872" s="178"/>
      <c r="M872" s="179"/>
    </row>
    <row r="873" spans="1:13" s="177" customFormat="1" ht="35.1" customHeight="1" x14ac:dyDescent="0.3">
      <c r="A873" s="180"/>
      <c r="B873" s="181"/>
      <c r="C873" s="182"/>
      <c r="D873" s="183"/>
      <c r="E873" s="184"/>
      <c r="F873" s="185"/>
      <c r="G873" s="27"/>
      <c r="H873" s="20"/>
      <c r="I873" s="309"/>
      <c r="J873" s="277"/>
      <c r="K873" s="280"/>
      <c r="L873" s="178"/>
      <c r="M873" s="179"/>
    </row>
    <row r="874" spans="1:13" s="177" customFormat="1" ht="35.1" customHeight="1" x14ac:dyDescent="0.3">
      <c r="A874" s="164">
        <v>90</v>
      </c>
      <c r="B874" s="165" t="s">
        <v>47</v>
      </c>
      <c r="C874" s="166" t="s">
        <v>188</v>
      </c>
      <c r="D874" s="167" t="s">
        <v>169</v>
      </c>
      <c r="E874" s="168">
        <v>2</v>
      </c>
      <c r="F874" s="169" t="s">
        <v>67</v>
      </c>
      <c r="G874" s="42"/>
      <c r="H874" s="43">
        <f t="shared" si="53"/>
        <v>0</v>
      </c>
      <c r="I874" s="309"/>
      <c r="J874" s="277">
        <f>8.5/1000</f>
        <v>8.5000000000000006E-3</v>
      </c>
      <c r="K874" s="280">
        <f t="shared" si="54"/>
        <v>1.7000000000000001E-2</v>
      </c>
      <c r="L874" s="178"/>
      <c r="M874" s="179"/>
    </row>
    <row r="875" spans="1:13" s="177" customFormat="1" ht="35.1" customHeight="1" x14ac:dyDescent="0.3">
      <c r="A875" s="180"/>
      <c r="B875" s="181"/>
      <c r="C875" s="182"/>
      <c r="D875" s="183"/>
      <c r="E875" s="184"/>
      <c r="F875" s="185"/>
      <c r="G875" s="27"/>
      <c r="H875" s="20"/>
      <c r="I875" s="309"/>
      <c r="J875" s="277"/>
      <c r="K875" s="280"/>
      <c r="L875" s="178"/>
      <c r="M875" s="179"/>
    </row>
    <row r="876" spans="1:13" s="177" customFormat="1" ht="35.1" customHeight="1" x14ac:dyDescent="0.3">
      <c r="A876" s="287">
        <v>91</v>
      </c>
      <c r="B876" s="278" t="s">
        <v>12</v>
      </c>
      <c r="C876" s="186" t="s">
        <v>905</v>
      </c>
      <c r="D876" s="193" t="s">
        <v>143</v>
      </c>
      <c r="E876" s="196">
        <f>E878+E885+E892+E899+E906</f>
        <v>135</v>
      </c>
      <c r="F876" s="279" t="s">
        <v>67</v>
      </c>
      <c r="G876" s="19"/>
      <c r="H876" s="20">
        <f t="shared" si="53"/>
        <v>0</v>
      </c>
      <c r="I876" s="309"/>
      <c r="J876" s="277"/>
      <c r="K876" s="280">
        <f t="shared" si="54"/>
        <v>0</v>
      </c>
      <c r="L876" s="178"/>
      <c r="M876" s="179"/>
    </row>
    <row r="877" spans="1:13" s="177" customFormat="1" ht="35.1" customHeight="1" x14ac:dyDescent="0.3">
      <c r="A877" s="180"/>
      <c r="B877" s="181"/>
      <c r="C877" s="182"/>
      <c r="D877" s="183"/>
      <c r="E877" s="184"/>
      <c r="F877" s="185"/>
      <c r="G877" s="27"/>
      <c r="H877" s="20"/>
      <c r="I877" s="309"/>
      <c r="J877" s="277"/>
      <c r="K877" s="280"/>
      <c r="L877" s="178"/>
      <c r="M877" s="179"/>
    </row>
    <row r="878" spans="1:13" s="177" customFormat="1" ht="35.1" customHeight="1" x14ac:dyDescent="0.3">
      <c r="A878" s="164">
        <v>92</v>
      </c>
      <c r="B878" s="165" t="s">
        <v>47</v>
      </c>
      <c r="C878" s="166" t="s">
        <v>281</v>
      </c>
      <c r="D878" s="167" t="s">
        <v>263</v>
      </c>
      <c r="E878" s="168">
        <f>E883</f>
        <v>28</v>
      </c>
      <c r="F878" s="169" t="s">
        <v>67</v>
      </c>
      <c r="G878" s="42"/>
      <c r="H878" s="43">
        <f t="shared" si="53"/>
        <v>0</v>
      </c>
      <c r="I878" s="309"/>
      <c r="J878" s="277">
        <f>0.7/1000</f>
        <v>6.9999999999999999E-4</v>
      </c>
      <c r="K878" s="280">
        <f t="shared" si="54"/>
        <v>1.9599999999999999E-2</v>
      </c>
      <c r="L878" s="178"/>
      <c r="M878" s="179"/>
    </row>
    <row r="879" spans="1:13" s="177" customFormat="1" ht="35.1" customHeight="1" x14ac:dyDescent="0.3">
      <c r="A879" s="180"/>
      <c r="B879" s="181"/>
      <c r="C879" s="182"/>
      <c r="D879" s="193" t="s">
        <v>880</v>
      </c>
      <c r="E879" s="184">
        <v>11</v>
      </c>
      <c r="F879" s="185" t="s">
        <v>67</v>
      </c>
      <c r="G879" s="27"/>
      <c r="H879" s="20"/>
      <c r="I879" s="309"/>
      <c r="J879" s="277"/>
      <c r="K879" s="280"/>
      <c r="L879" s="178"/>
      <c r="M879" s="179"/>
    </row>
    <row r="880" spans="1:13" s="177" customFormat="1" ht="35.1" customHeight="1" x14ac:dyDescent="0.3">
      <c r="A880" s="180"/>
      <c r="B880" s="181"/>
      <c r="C880" s="182"/>
      <c r="D880" s="193" t="s">
        <v>881</v>
      </c>
      <c r="E880" s="184">
        <v>3</v>
      </c>
      <c r="F880" s="185" t="s">
        <v>67</v>
      </c>
      <c r="G880" s="27"/>
      <c r="H880" s="20"/>
      <c r="I880" s="309"/>
      <c r="J880" s="277"/>
      <c r="K880" s="280"/>
      <c r="L880" s="178"/>
      <c r="M880" s="179"/>
    </row>
    <row r="881" spans="1:13" s="177" customFormat="1" ht="35.1" customHeight="1" x14ac:dyDescent="0.3">
      <c r="A881" s="180"/>
      <c r="B881" s="181"/>
      <c r="C881" s="182"/>
      <c r="D881" s="193" t="s">
        <v>882</v>
      </c>
      <c r="E881" s="184">
        <v>12</v>
      </c>
      <c r="F881" s="185" t="s">
        <v>67</v>
      </c>
      <c r="G881" s="27"/>
      <c r="H881" s="20"/>
      <c r="I881" s="309"/>
      <c r="J881" s="277"/>
      <c r="K881" s="280"/>
      <c r="L881" s="178"/>
      <c r="M881" s="179"/>
    </row>
    <row r="882" spans="1:13" s="177" customFormat="1" ht="35.1" customHeight="1" x14ac:dyDescent="0.3">
      <c r="A882" s="180"/>
      <c r="B882" s="181"/>
      <c r="C882" s="182"/>
      <c r="D882" s="183" t="s">
        <v>886</v>
      </c>
      <c r="E882" s="184">
        <v>2</v>
      </c>
      <c r="F882" s="185" t="s">
        <v>67</v>
      </c>
      <c r="G882" s="27"/>
      <c r="H882" s="20"/>
      <c r="I882" s="309"/>
      <c r="J882" s="277"/>
      <c r="K882" s="280"/>
      <c r="L882" s="178"/>
      <c r="M882" s="179"/>
    </row>
    <row r="883" spans="1:13" s="177" customFormat="1" ht="35.1" customHeight="1" x14ac:dyDescent="0.3">
      <c r="A883" s="180"/>
      <c r="B883" s="181"/>
      <c r="C883" s="182"/>
      <c r="D883" s="183" t="s">
        <v>18</v>
      </c>
      <c r="E883" s="184">
        <f>SUM(E879:E882)</f>
        <v>28</v>
      </c>
      <c r="F883" s="185" t="s">
        <v>67</v>
      </c>
      <c r="G883" s="27"/>
      <c r="H883" s="20"/>
      <c r="I883" s="309"/>
      <c r="J883" s="277"/>
      <c r="K883" s="280"/>
      <c r="L883" s="178"/>
      <c r="M883" s="179"/>
    </row>
    <row r="884" spans="1:13" s="177" customFormat="1" ht="35.1" customHeight="1" x14ac:dyDescent="0.3">
      <c r="A884" s="180"/>
      <c r="B884" s="181"/>
      <c r="C884" s="182"/>
      <c r="D884" s="183"/>
      <c r="E884" s="184"/>
      <c r="F884" s="185"/>
      <c r="G884" s="27"/>
      <c r="H884" s="20"/>
      <c r="I884" s="309"/>
      <c r="J884" s="277"/>
      <c r="K884" s="280"/>
      <c r="L884" s="178"/>
      <c r="M884" s="179"/>
    </row>
    <row r="885" spans="1:13" s="177" customFormat="1" ht="35.1" customHeight="1" x14ac:dyDescent="0.3">
      <c r="A885" s="164">
        <v>93</v>
      </c>
      <c r="B885" s="165" t="s">
        <v>47</v>
      </c>
      <c r="C885" s="166" t="s">
        <v>282</v>
      </c>
      <c r="D885" s="167" t="s">
        <v>264</v>
      </c>
      <c r="E885" s="168">
        <f>E890</f>
        <v>28</v>
      </c>
      <c r="F885" s="169" t="s">
        <v>67</v>
      </c>
      <c r="G885" s="42"/>
      <c r="H885" s="43">
        <f t="shared" ref="H885:H937" si="55">E885*G885</f>
        <v>0</v>
      </c>
      <c r="I885" s="309"/>
      <c r="J885" s="277">
        <f>0.7/1000</f>
        <v>6.9999999999999999E-4</v>
      </c>
      <c r="K885" s="280">
        <f t="shared" si="54"/>
        <v>1.9599999999999999E-2</v>
      </c>
      <c r="L885" s="178"/>
      <c r="M885" s="179"/>
    </row>
    <row r="886" spans="1:13" s="177" customFormat="1" ht="35.1" customHeight="1" x14ac:dyDescent="0.3">
      <c r="A886" s="180"/>
      <c r="B886" s="181"/>
      <c r="C886" s="182"/>
      <c r="D886" s="193" t="s">
        <v>880</v>
      </c>
      <c r="E886" s="184">
        <v>11</v>
      </c>
      <c r="F886" s="185" t="s">
        <v>67</v>
      </c>
      <c r="G886" s="27"/>
      <c r="H886" s="43"/>
      <c r="I886" s="309"/>
      <c r="J886" s="277"/>
      <c r="K886" s="280"/>
      <c r="L886" s="178"/>
      <c r="M886" s="179"/>
    </row>
    <row r="887" spans="1:13" s="177" customFormat="1" ht="35.1" customHeight="1" x14ac:dyDescent="0.3">
      <c r="A887" s="180"/>
      <c r="B887" s="181"/>
      <c r="C887" s="182"/>
      <c r="D887" s="193" t="s">
        <v>881</v>
      </c>
      <c r="E887" s="184">
        <v>3</v>
      </c>
      <c r="F887" s="185" t="s">
        <v>67</v>
      </c>
      <c r="G887" s="27"/>
      <c r="H887" s="43"/>
      <c r="I887" s="309"/>
      <c r="J887" s="277"/>
      <c r="K887" s="280"/>
      <c r="L887" s="178"/>
      <c r="M887" s="179"/>
    </row>
    <row r="888" spans="1:13" s="177" customFormat="1" ht="35.1" customHeight="1" x14ac:dyDescent="0.3">
      <c r="A888" s="180"/>
      <c r="B888" s="181"/>
      <c r="C888" s="182"/>
      <c r="D888" s="193" t="s">
        <v>882</v>
      </c>
      <c r="E888" s="184">
        <v>12</v>
      </c>
      <c r="F888" s="185" t="s">
        <v>67</v>
      </c>
      <c r="G888" s="27"/>
      <c r="H888" s="43"/>
      <c r="I888" s="309"/>
      <c r="J888" s="277"/>
      <c r="K888" s="280"/>
      <c r="L888" s="178"/>
      <c r="M888" s="179"/>
    </row>
    <row r="889" spans="1:13" s="177" customFormat="1" ht="35.1" customHeight="1" x14ac:dyDescent="0.3">
      <c r="A889" s="180"/>
      <c r="B889" s="181"/>
      <c r="C889" s="182"/>
      <c r="D889" s="183" t="s">
        <v>878</v>
      </c>
      <c r="E889" s="184">
        <v>2</v>
      </c>
      <c r="F889" s="185" t="s">
        <v>67</v>
      </c>
      <c r="G889" s="27"/>
      <c r="H889" s="43"/>
      <c r="I889" s="309"/>
      <c r="J889" s="277"/>
      <c r="K889" s="280"/>
      <c r="L889" s="178"/>
      <c r="M889" s="179"/>
    </row>
    <row r="890" spans="1:13" s="177" customFormat="1" ht="35.1" customHeight="1" x14ac:dyDescent="0.3">
      <c r="A890" s="180"/>
      <c r="B890" s="181"/>
      <c r="C890" s="182"/>
      <c r="D890" s="183" t="s">
        <v>18</v>
      </c>
      <c r="E890" s="184">
        <f>SUM(E886:E889)</f>
        <v>28</v>
      </c>
      <c r="F890" s="185" t="s">
        <v>67</v>
      </c>
      <c r="G890" s="27"/>
      <c r="H890" s="43"/>
      <c r="I890" s="309"/>
      <c r="J890" s="277"/>
      <c r="K890" s="280"/>
      <c r="L890" s="178"/>
      <c r="M890" s="179"/>
    </row>
    <row r="891" spans="1:13" s="177" customFormat="1" ht="35.1" customHeight="1" x14ac:dyDescent="0.3">
      <c r="A891" s="180"/>
      <c r="B891" s="181"/>
      <c r="C891" s="182"/>
      <c r="D891" s="183"/>
      <c r="E891" s="184"/>
      <c r="F891" s="185"/>
      <c r="G891" s="27"/>
      <c r="H891" s="43"/>
      <c r="I891" s="309"/>
      <c r="J891" s="277"/>
      <c r="K891" s="280"/>
      <c r="L891" s="178"/>
      <c r="M891" s="179"/>
    </row>
    <row r="892" spans="1:13" s="177" customFormat="1" ht="35.1" customHeight="1" x14ac:dyDescent="0.3">
      <c r="A892" s="164">
        <v>94</v>
      </c>
      <c r="B892" s="165" t="s">
        <v>47</v>
      </c>
      <c r="C892" s="166" t="s">
        <v>283</v>
      </c>
      <c r="D892" s="167" t="s">
        <v>265</v>
      </c>
      <c r="E892" s="168">
        <f>E897</f>
        <v>28</v>
      </c>
      <c r="F892" s="169" t="s">
        <v>67</v>
      </c>
      <c r="G892" s="42"/>
      <c r="H892" s="43">
        <f t="shared" si="55"/>
        <v>0</v>
      </c>
      <c r="I892" s="309"/>
      <c r="J892" s="277">
        <f>0.8/1000</f>
        <v>8.0000000000000004E-4</v>
      </c>
      <c r="K892" s="280">
        <f t="shared" si="54"/>
        <v>2.24E-2</v>
      </c>
      <c r="L892" s="178"/>
      <c r="M892" s="179"/>
    </row>
    <row r="893" spans="1:13" s="177" customFormat="1" ht="35.1" customHeight="1" x14ac:dyDescent="0.3">
      <c r="A893" s="164"/>
      <c r="B893" s="165"/>
      <c r="C893" s="166"/>
      <c r="D893" s="193" t="s">
        <v>880</v>
      </c>
      <c r="E893" s="184">
        <v>11</v>
      </c>
      <c r="F893" s="185" t="s">
        <v>67</v>
      </c>
      <c r="G893" s="42"/>
      <c r="H893" s="43"/>
      <c r="I893" s="309"/>
      <c r="J893" s="277"/>
      <c r="K893" s="280"/>
      <c r="L893" s="178"/>
      <c r="M893" s="179"/>
    </row>
    <row r="894" spans="1:13" s="177" customFormat="1" ht="35.1" customHeight="1" x14ac:dyDescent="0.3">
      <c r="A894" s="164"/>
      <c r="B894" s="165"/>
      <c r="C894" s="166"/>
      <c r="D894" s="193" t="s">
        <v>881</v>
      </c>
      <c r="E894" s="184">
        <v>3</v>
      </c>
      <c r="F894" s="185" t="s">
        <v>67</v>
      </c>
      <c r="G894" s="42"/>
      <c r="H894" s="43"/>
      <c r="I894" s="309"/>
      <c r="J894" s="277"/>
      <c r="K894" s="280"/>
      <c r="L894" s="178"/>
      <c r="M894" s="179"/>
    </row>
    <row r="895" spans="1:13" s="177" customFormat="1" ht="35.1" customHeight="1" x14ac:dyDescent="0.3">
      <c r="A895" s="164"/>
      <c r="B895" s="165"/>
      <c r="C895" s="166"/>
      <c r="D895" s="193" t="s">
        <v>882</v>
      </c>
      <c r="E895" s="184">
        <v>12</v>
      </c>
      <c r="F895" s="185" t="s">
        <v>67</v>
      </c>
      <c r="G895" s="42"/>
      <c r="H895" s="43"/>
      <c r="I895" s="309"/>
      <c r="J895" s="277"/>
      <c r="K895" s="280"/>
      <c r="L895" s="178"/>
      <c r="M895" s="179"/>
    </row>
    <row r="896" spans="1:13" s="177" customFormat="1" ht="35.1" customHeight="1" x14ac:dyDescent="0.3">
      <c r="A896" s="180"/>
      <c r="B896" s="181"/>
      <c r="C896" s="182"/>
      <c r="D896" s="183" t="s">
        <v>878</v>
      </c>
      <c r="E896" s="184">
        <v>2</v>
      </c>
      <c r="F896" s="185" t="s">
        <v>67</v>
      </c>
      <c r="G896" s="27"/>
      <c r="H896" s="20"/>
      <c r="I896" s="309"/>
      <c r="J896" s="277"/>
      <c r="K896" s="280"/>
      <c r="L896" s="178"/>
      <c r="M896" s="179"/>
    </row>
    <row r="897" spans="1:13" s="177" customFormat="1" ht="35.1" customHeight="1" x14ac:dyDescent="0.3">
      <c r="A897" s="180"/>
      <c r="B897" s="181"/>
      <c r="C897" s="182"/>
      <c r="D897" s="183" t="s">
        <v>18</v>
      </c>
      <c r="E897" s="184">
        <f>SUM(E893:E896)</f>
        <v>28</v>
      </c>
      <c r="F897" s="185" t="s">
        <v>67</v>
      </c>
      <c r="G897" s="27"/>
      <c r="H897" s="20"/>
      <c r="I897" s="309"/>
      <c r="J897" s="277"/>
      <c r="K897" s="280"/>
      <c r="L897" s="178"/>
      <c r="M897" s="179"/>
    </row>
    <row r="898" spans="1:13" s="177" customFormat="1" ht="35.1" customHeight="1" x14ac:dyDescent="0.3">
      <c r="A898" s="180"/>
      <c r="B898" s="181"/>
      <c r="C898" s="182"/>
      <c r="D898" s="183"/>
      <c r="E898" s="184"/>
      <c r="F898" s="185"/>
      <c r="G898" s="27"/>
      <c r="H898" s="20"/>
      <c r="I898" s="309"/>
      <c r="J898" s="277"/>
      <c r="K898" s="280"/>
      <c r="L898" s="178"/>
      <c r="M898" s="179"/>
    </row>
    <row r="899" spans="1:13" s="177" customFormat="1" ht="35.1" customHeight="1" x14ac:dyDescent="0.3">
      <c r="A899" s="164">
        <v>95</v>
      </c>
      <c r="B899" s="165" t="s">
        <v>47</v>
      </c>
      <c r="C899" s="166" t="s">
        <v>284</v>
      </c>
      <c r="D899" s="167" t="s">
        <v>266</v>
      </c>
      <c r="E899" s="168">
        <f>E904</f>
        <v>28</v>
      </c>
      <c r="F899" s="169" t="s">
        <v>67</v>
      </c>
      <c r="G899" s="42"/>
      <c r="H899" s="43">
        <f t="shared" si="55"/>
        <v>0</v>
      </c>
      <c r="I899" s="309"/>
      <c r="J899" s="277">
        <f>0.8/1000</f>
        <v>8.0000000000000004E-4</v>
      </c>
      <c r="K899" s="280">
        <f t="shared" si="54"/>
        <v>2.24E-2</v>
      </c>
      <c r="L899" s="178"/>
      <c r="M899" s="179"/>
    </row>
    <row r="900" spans="1:13" s="177" customFormat="1" ht="35.1" customHeight="1" x14ac:dyDescent="0.3">
      <c r="A900" s="180"/>
      <c r="B900" s="181"/>
      <c r="C900" s="182"/>
      <c r="D900" s="193" t="s">
        <v>880</v>
      </c>
      <c r="E900" s="184">
        <v>11</v>
      </c>
      <c r="F900" s="185" t="s">
        <v>67</v>
      </c>
      <c r="G900" s="27"/>
      <c r="H900" s="20"/>
      <c r="I900" s="309"/>
      <c r="J900" s="277"/>
      <c r="K900" s="280"/>
      <c r="L900" s="178"/>
      <c r="M900" s="179"/>
    </row>
    <row r="901" spans="1:13" s="177" customFormat="1" ht="35.1" customHeight="1" x14ac:dyDescent="0.3">
      <c r="A901" s="180"/>
      <c r="B901" s="181"/>
      <c r="C901" s="182"/>
      <c r="D901" s="193" t="s">
        <v>881</v>
      </c>
      <c r="E901" s="184">
        <v>3</v>
      </c>
      <c r="F901" s="185" t="s">
        <v>67</v>
      </c>
      <c r="G901" s="27"/>
      <c r="H901" s="20"/>
      <c r="I901" s="309"/>
      <c r="J901" s="277"/>
      <c r="K901" s="280"/>
      <c r="L901" s="178"/>
      <c r="M901" s="179"/>
    </row>
    <row r="902" spans="1:13" s="177" customFormat="1" ht="35.1" customHeight="1" x14ac:dyDescent="0.3">
      <c r="A902" s="180"/>
      <c r="B902" s="181"/>
      <c r="C902" s="182"/>
      <c r="D902" s="193" t="s">
        <v>882</v>
      </c>
      <c r="E902" s="184">
        <v>12</v>
      </c>
      <c r="F902" s="185" t="s">
        <v>67</v>
      </c>
      <c r="G902" s="27"/>
      <c r="H902" s="20"/>
      <c r="I902" s="309"/>
      <c r="J902" s="277"/>
      <c r="K902" s="280"/>
      <c r="L902" s="178"/>
      <c r="M902" s="179"/>
    </row>
    <row r="903" spans="1:13" s="177" customFormat="1" ht="35.1" customHeight="1" x14ac:dyDescent="0.3">
      <c r="A903" s="180"/>
      <c r="B903" s="181"/>
      <c r="C903" s="182"/>
      <c r="D903" s="183" t="s">
        <v>877</v>
      </c>
      <c r="E903" s="184">
        <v>2</v>
      </c>
      <c r="F903" s="185" t="s">
        <v>67</v>
      </c>
      <c r="G903" s="27"/>
      <c r="H903" s="20"/>
      <c r="I903" s="309"/>
      <c r="J903" s="277"/>
      <c r="K903" s="280"/>
      <c r="L903" s="178"/>
      <c r="M903" s="179"/>
    </row>
    <row r="904" spans="1:13" s="177" customFormat="1" ht="35.1" customHeight="1" x14ac:dyDescent="0.3">
      <c r="A904" s="180"/>
      <c r="B904" s="181"/>
      <c r="C904" s="182"/>
      <c r="D904" s="183" t="s">
        <v>18</v>
      </c>
      <c r="E904" s="184">
        <f>SUM(E900:E903)</f>
        <v>28</v>
      </c>
      <c r="F904" s="185" t="s">
        <v>67</v>
      </c>
      <c r="G904" s="27"/>
      <c r="H904" s="20"/>
      <c r="I904" s="309"/>
      <c r="J904" s="277"/>
      <c r="K904" s="280"/>
      <c r="L904" s="178"/>
      <c r="M904" s="179"/>
    </row>
    <row r="905" spans="1:13" s="177" customFormat="1" ht="35.1" customHeight="1" x14ac:dyDescent="0.3">
      <c r="A905" s="180"/>
      <c r="B905" s="181"/>
      <c r="C905" s="182"/>
      <c r="D905" s="183"/>
      <c r="E905" s="184"/>
      <c r="F905" s="185"/>
      <c r="G905" s="27"/>
      <c r="H905" s="20"/>
      <c r="I905" s="309"/>
      <c r="J905" s="277"/>
      <c r="K905" s="280"/>
      <c r="L905" s="178"/>
      <c r="M905" s="179"/>
    </row>
    <row r="906" spans="1:13" s="177" customFormat="1" ht="35.1" customHeight="1" x14ac:dyDescent="0.3">
      <c r="A906" s="164">
        <v>96</v>
      </c>
      <c r="B906" s="165" t="s">
        <v>47</v>
      </c>
      <c r="C906" s="166" t="s">
        <v>80</v>
      </c>
      <c r="D906" s="167" t="s">
        <v>891</v>
      </c>
      <c r="E906" s="168">
        <f>E909</f>
        <v>23</v>
      </c>
      <c r="F906" s="169" t="s">
        <v>67</v>
      </c>
      <c r="G906" s="42"/>
      <c r="H906" s="43">
        <f>E906*G906</f>
        <v>0</v>
      </c>
      <c r="I906" s="309"/>
      <c r="J906" s="277"/>
      <c r="K906" s="280"/>
      <c r="L906" s="178"/>
      <c r="M906" s="179"/>
    </row>
    <row r="907" spans="1:13" s="177" customFormat="1" ht="35.1" customHeight="1" x14ac:dyDescent="0.3">
      <c r="A907" s="180"/>
      <c r="B907" s="165"/>
      <c r="C907" s="166"/>
      <c r="D907" s="193" t="s">
        <v>880</v>
      </c>
      <c r="E907" s="196">
        <v>11</v>
      </c>
      <c r="F907" s="279" t="s">
        <v>67</v>
      </c>
      <c r="G907" s="42"/>
      <c r="H907" s="43"/>
      <c r="I907" s="309"/>
      <c r="J907" s="277"/>
      <c r="K907" s="280"/>
      <c r="L907" s="178"/>
      <c r="M907" s="179"/>
    </row>
    <row r="908" spans="1:13" s="177" customFormat="1" ht="35.1" customHeight="1" x14ac:dyDescent="0.3">
      <c r="A908" s="180"/>
      <c r="B908" s="165"/>
      <c r="C908" s="166"/>
      <c r="D908" s="193" t="s">
        <v>884</v>
      </c>
      <c r="E908" s="196">
        <v>12</v>
      </c>
      <c r="F908" s="279" t="s">
        <v>67</v>
      </c>
      <c r="G908" s="42"/>
      <c r="H908" s="43"/>
      <c r="I908" s="309"/>
      <c r="J908" s="277"/>
      <c r="K908" s="280"/>
      <c r="L908" s="178"/>
      <c r="M908" s="179"/>
    </row>
    <row r="909" spans="1:13" s="177" customFormat="1" ht="35.1" customHeight="1" x14ac:dyDescent="0.3">
      <c r="A909" s="180"/>
      <c r="B909" s="165"/>
      <c r="C909" s="166"/>
      <c r="D909" s="193" t="s">
        <v>18</v>
      </c>
      <c r="E909" s="196">
        <f>SUM(E907:E908)</f>
        <v>23</v>
      </c>
      <c r="F909" s="279" t="s">
        <v>67</v>
      </c>
      <c r="G909" s="42"/>
      <c r="H909" s="43"/>
      <c r="I909" s="309"/>
      <c r="J909" s="277"/>
      <c r="K909" s="280"/>
      <c r="L909" s="178"/>
      <c r="M909" s="179"/>
    </row>
    <row r="910" spans="1:13" s="177" customFormat="1" ht="35.1" customHeight="1" x14ac:dyDescent="0.3">
      <c r="A910" s="180"/>
      <c r="B910" s="165"/>
      <c r="C910" s="166"/>
      <c r="D910" s="167"/>
      <c r="E910" s="168"/>
      <c r="F910" s="169"/>
      <c r="G910" s="42"/>
      <c r="H910" s="43"/>
      <c r="I910" s="309"/>
      <c r="J910" s="277"/>
      <c r="K910" s="280"/>
      <c r="L910" s="178"/>
      <c r="M910" s="179"/>
    </row>
    <row r="911" spans="1:13" s="177" customFormat="1" ht="35.1" customHeight="1" x14ac:dyDescent="0.3">
      <c r="A911" s="287">
        <v>97</v>
      </c>
      <c r="B911" s="278" t="s">
        <v>12</v>
      </c>
      <c r="C911" s="186" t="s">
        <v>873</v>
      </c>
      <c r="D911" s="193" t="s">
        <v>874</v>
      </c>
      <c r="E911" s="196">
        <f>E916</f>
        <v>23</v>
      </c>
      <c r="F911" s="279" t="s">
        <v>67</v>
      </c>
      <c r="G911" s="19"/>
      <c r="H911" s="20">
        <f>E911*G911</f>
        <v>0</v>
      </c>
      <c r="I911" s="310"/>
      <c r="J911" s="279"/>
      <c r="K911" s="280"/>
      <c r="L911" s="178"/>
      <c r="M911" s="179"/>
    </row>
    <row r="912" spans="1:13" s="177" customFormat="1" ht="35.1" customHeight="1" x14ac:dyDescent="0.3">
      <c r="A912" s="164"/>
      <c r="B912" s="181"/>
      <c r="C912" s="182"/>
      <c r="D912" s="183"/>
      <c r="E912" s="184"/>
      <c r="F912" s="185"/>
      <c r="G912" s="27"/>
      <c r="H912" s="282"/>
      <c r="I912" s="311"/>
      <c r="J912" s="185"/>
      <c r="K912" s="280"/>
      <c r="L912" s="178"/>
      <c r="M912" s="179"/>
    </row>
    <row r="913" spans="1:13" s="177" customFormat="1" ht="35.1" customHeight="1" x14ac:dyDescent="0.3">
      <c r="A913" s="164">
        <v>98</v>
      </c>
      <c r="B913" s="165" t="s">
        <v>47</v>
      </c>
      <c r="C913" s="166" t="s">
        <v>81</v>
      </c>
      <c r="D913" s="167" t="s">
        <v>885</v>
      </c>
      <c r="E913" s="168">
        <f>E916</f>
        <v>23</v>
      </c>
      <c r="F913" s="169" t="s">
        <v>67</v>
      </c>
      <c r="G913" s="42"/>
      <c r="H913" s="43">
        <f>E913*G913</f>
        <v>0</v>
      </c>
      <c r="I913" s="312"/>
      <c r="J913" s="169"/>
      <c r="K913" s="280"/>
      <c r="L913" s="178"/>
      <c r="M913" s="179"/>
    </row>
    <row r="914" spans="1:13" s="177" customFormat="1" ht="35.1" customHeight="1" x14ac:dyDescent="0.3">
      <c r="A914" s="164"/>
      <c r="B914" s="165"/>
      <c r="C914" s="166"/>
      <c r="D914" s="193" t="s">
        <v>880</v>
      </c>
      <c r="E914" s="196">
        <v>11</v>
      </c>
      <c r="F914" s="279" t="s">
        <v>67</v>
      </c>
      <c r="G914" s="42"/>
      <c r="H914" s="43"/>
      <c r="I914" s="312"/>
      <c r="J914" s="169"/>
      <c r="K914" s="280"/>
      <c r="L914" s="178"/>
      <c r="M914" s="179"/>
    </row>
    <row r="915" spans="1:13" s="177" customFormat="1" ht="35.1" customHeight="1" x14ac:dyDescent="0.3">
      <c r="A915" s="164"/>
      <c r="B915" s="165"/>
      <c r="C915" s="166"/>
      <c r="D915" s="193" t="s">
        <v>884</v>
      </c>
      <c r="E915" s="196">
        <v>12</v>
      </c>
      <c r="F915" s="279" t="s">
        <v>67</v>
      </c>
      <c r="G915" s="42"/>
      <c r="H915" s="43"/>
      <c r="I915" s="283"/>
      <c r="J915" s="169"/>
      <c r="K915" s="280"/>
      <c r="L915" s="178"/>
      <c r="M915" s="179"/>
    </row>
    <row r="916" spans="1:13" s="177" customFormat="1" ht="35.1" customHeight="1" x14ac:dyDescent="0.3">
      <c r="A916" s="164"/>
      <c r="B916" s="165"/>
      <c r="C916" s="166"/>
      <c r="D916" s="284" t="s">
        <v>18</v>
      </c>
      <c r="E916" s="285">
        <f>SUM(E914:E915)</f>
        <v>23</v>
      </c>
      <c r="F916" s="286" t="s">
        <v>67</v>
      </c>
      <c r="G916" s="42"/>
      <c r="H916" s="43"/>
      <c r="I916" s="312"/>
      <c r="J916" s="169"/>
      <c r="K916" s="280"/>
      <c r="L916" s="178"/>
      <c r="M916" s="179"/>
    </row>
    <row r="917" spans="1:13" s="177" customFormat="1" ht="35.1" customHeight="1" x14ac:dyDescent="0.3">
      <c r="A917" s="164"/>
      <c r="B917" s="165"/>
      <c r="C917" s="166"/>
      <c r="D917" s="167"/>
      <c r="E917" s="168"/>
      <c r="F917" s="169"/>
      <c r="G917" s="42"/>
      <c r="H917" s="20"/>
      <c r="I917" s="309"/>
      <c r="J917" s="277"/>
      <c r="K917" s="280"/>
      <c r="L917" s="178"/>
      <c r="M917" s="179"/>
    </row>
    <row r="918" spans="1:13" s="177" customFormat="1" ht="35.1" customHeight="1" x14ac:dyDescent="0.3">
      <c r="A918" s="287">
        <v>99</v>
      </c>
      <c r="B918" s="278" t="s">
        <v>12</v>
      </c>
      <c r="C918" s="186" t="s">
        <v>875</v>
      </c>
      <c r="D918" s="193" t="s">
        <v>876</v>
      </c>
      <c r="E918" s="196">
        <f>E921</f>
        <v>23</v>
      </c>
      <c r="F918" s="279" t="s">
        <v>67</v>
      </c>
      <c r="G918" s="19"/>
      <c r="H918" s="20">
        <f>E918*G918</f>
        <v>0</v>
      </c>
      <c r="I918" s="310"/>
      <c r="J918" s="279"/>
      <c r="K918" s="280"/>
      <c r="L918" s="178"/>
      <c r="M918" s="179"/>
    </row>
    <row r="919" spans="1:13" s="177" customFormat="1" ht="35.1" customHeight="1" x14ac:dyDescent="0.3">
      <c r="A919" s="164"/>
      <c r="B919" s="278"/>
      <c r="C919" s="186"/>
      <c r="D919" s="193" t="s">
        <v>880</v>
      </c>
      <c r="E919" s="196">
        <v>11</v>
      </c>
      <c r="F919" s="279" t="s">
        <v>67</v>
      </c>
      <c r="G919" s="19"/>
      <c r="H919" s="20"/>
      <c r="I919" s="310"/>
      <c r="J919" s="279"/>
      <c r="K919" s="280"/>
      <c r="L919" s="178"/>
      <c r="M919" s="179"/>
    </row>
    <row r="920" spans="1:13" s="177" customFormat="1" ht="35.1" customHeight="1" x14ac:dyDescent="0.3">
      <c r="A920" s="164"/>
      <c r="B920" s="278"/>
      <c r="C920" s="186"/>
      <c r="D920" s="193" t="s">
        <v>884</v>
      </c>
      <c r="E920" s="196">
        <v>12</v>
      </c>
      <c r="F920" s="279" t="s">
        <v>67</v>
      </c>
      <c r="G920" s="19"/>
      <c r="H920" s="20"/>
      <c r="I920" s="281"/>
      <c r="J920" s="279"/>
      <c r="K920" s="280"/>
      <c r="L920" s="178"/>
      <c r="M920" s="179"/>
    </row>
    <row r="921" spans="1:13" s="177" customFormat="1" ht="35.1" customHeight="1" x14ac:dyDescent="0.3">
      <c r="A921" s="164"/>
      <c r="B921" s="278"/>
      <c r="C921" s="186"/>
      <c r="D921" s="284" t="s">
        <v>18</v>
      </c>
      <c r="E921" s="285">
        <f>SUM(E919:E920)</f>
        <v>23</v>
      </c>
      <c r="F921" s="286" t="s">
        <v>67</v>
      </c>
      <c r="G921" s="19"/>
      <c r="H921" s="20"/>
      <c r="I921" s="281"/>
      <c r="J921" s="279"/>
      <c r="K921" s="280"/>
      <c r="L921" s="178"/>
      <c r="M921" s="179"/>
    </row>
    <row r="922" spans="1:13" s="4" customFormat="1" ht="35.1" customHeight="1" x14ac:dyDescent="0.3">
      <c r="A922" s="36"/>
      <c r="B922" s="37"/>
      <c r="C922" s="38"/>
      <c r="D922" s="39"/>
      <c r="E922" s="73"/>
      <c r="F922" s="75"/>
      <c r="G922" s="42"/>
      <c r="H922" s="20"/>
      <c r="J922" s="133"/>
      <c r="K922" s="138"/>
      <c r="L922" s="133"/>
      <c r="M922" s="139"/>
    </row>
    <row r="923" spans="1:13" s="4" customFormat="1" ht="35.1" customHeight="1" x14ac:dyDescent="0.3">
      <c r="A923" s="13">
        <v>100</v>
      </c>
      <c r="B923" s="14" t="s">
        <v>12</v>
      </c>
      <c r="C923" s="186" t="s">
        <v>190</v>
      </c>
      <c r="D923" s="16" t="s">
        <v>811</v>
      </c>
      <c r="E923" s="65">
        <v>1</v>
      </c>
      <c r="F923" s="74" t="s">
        <v>67</v>
      </c>
      <c r="G923" s="19"/>
      <c r="H923" s="20">
        <f t="shared" si="55"/>
        <v>0</v>
      </c>
      <c r="J923" s="133"/>
      <c r="K923" s="138">
        <f t="shared" si="54"/>
        <v>0</v>
      </c>
      <c r="L923" s="133"/>
      <c r="M923" s="139"/>
    </row>
    <row r="924" spans="1:13" s="4" customFormat="1" ht="35.1" customHeight="1" x14ac:dyDescent="0.3">
      <c r="A924" s="21"/>
      <c r="B924" s="22"/>
      <c r="C924" s="23"/>
      <c r="D924" s="24"/>
      <c r="E924" s="72"/>
      <c r="F924" s="64"/>
      <c r="G924" s="27"/>
      <c r="H924" s="20"/>
      <c r="J924" s="133"/>
      <c r="K924" s="138"/>
      <c r="L924" s="133"/>
      <c r="M924" s="139"/>
    </row>
    <row r="925" spans="1:13" s="4" customFormat="1" ht="35.1" customHeight="1" x14ac:dyDescent="0.3">
      <c r="A925" s="36">
        <v>101</v>
      </c>
      <c r="B925" s="37" t="s">
        <v>47</v>
      </c>
      <c r="C925" s="166" t="s">
        <v>92</v>
      </c>
      <c r="D925" s="167" t="s">
        <v>812</v>
      </c>
      <c r="E925" s="73">
        <v>1</v>
      </c>
      <c r="F925" s="75" t="s">
        <v>140</v>
      </c>
      <c r="G925" s="42"/>
      <c r="H925" s="43">
        <f t="shared" si="55"/>
        <v>0</v>
      </c>
      <c r="J925" s="133"/>
      <c r="K925" s="138">
        <f t="shared" si="54"/>
        <v>0</v>
      </c>
      <c r="L925" s="133"/>
      <c r="M925" s="139"/>
    </row>
    <row r="926" spans="1:13" s="4" customFormat="1" ht="35.1" customHeight="1" x14ac:dyDescent="0.3">
      <c r="A926" s="36"/>
      <c r="B926" s="37"/>
      <c r="C926" s="166"/>
      <c r="D926" s="167"/>
      <c r="E926" s="73"/>
      <c r="F926" s="75"/>
      <c r="G926" s="42"/>
      <c r="H926" s="43"/>
      <c r="J926" s="133"/>
      <c r="K926" s="138"/>
      <c r="L926" s="133"/>
      <c r="M926" s="139"/>
    </row>
    <row r="927" spans="1:13" s="4" customFormat="1" ht="35.1" customHeight="1" x14ac:dyDescent="0.3">
      <c r="A927" s="36">
        <v>102</v>
      </c>
      <c r="B927" s="37" t="s">
        <v>47</v>
      </c>
      <c r="C927" s="166" t="s">
        <v>336</v>
      </c>
      <c r="D927" s="167" t="s">
        <v>291</v>
      </c>
      <c r="E927" s="73">
        <v>1</v>
      </c>
      <c r="F927" s="75" t="s">
        <v>140</v>
      </c>
      <c r="G927" s="42"/>
      <c r="H927" s="43">
        <f t="shared" si="55"/>
        <v>0</v>
      </c>
      <c r="J927" s="133"/>
      <c r="K927" s="138"/>
      <c r="L927" s="133"/>
      <c r="M927" s="139"/>
    </row>
    <row r="928" spans="1:13" s="4" customFormat="1" ht="35.1" customHeight="1" x14ac:dyDescent="0.3">
      <c r="A928" s="36"/>
      <c r="B928" s="37"/>
      <c r="C928" s="166"/>
      <c r="D928" s="167"/>
      <c r="E928" s="73"/>
      <c r="F928" s="75"/>
      <c r="G928" s="42"/>
      <c r="H928" s="43"/>
      <c r="J928" s="133"/>
      <c r="K928" s="138"/>
      <c r="L928" s="133"/>
      <c r="M928" s="139"/>
    </row>
    <row r="929" spans="1:13" s="4" customFormat="1" ht="35.1" customHeight="1" x14ac:dyDescent="0.3">
      <c r="A929" s="36">
        <v>103</v>
      </c>
      <c r="B929" s="37" t="s">
        <v>47</v>
      </c>
      <c r="C929" s="166" t="s">
        <v>337</v>
      </c>
      <c r="D929" s="167" t="s">
        <v>292</v>
      </c>
      <c r="E929" s="73">
        <v>1</v>
      </c>
      <c r="F929" s="75" t="s">
        <v>140</v>
      </c>
      <c r="G929" s="42"/>
      <c r="H929" s="43">
        <f t="shared" si="55"/>
        <v>0</v>
      </c>
      <c r="J929" s="133"/>
      <c r="K929" s="138">
        <f t="shared" ref="K929:K955" si="56">E929*J929</f>
        <v>0</v>
      </c>
      <c r="L929" s="133"/>
      <c r="M929" s="139"/>
    </row>
    <row r="930" spans="1:13" s="4" customFormat="1" ht="35.1" customHeight="1" x14ac:dyDescent="0.3">
      <c r="A930" s="36"/>
      <c r="B930" s="37"/>
      <c r="C930" s="166"/>
      <c r="D930" s="167"/>
      <c r="E930" s="73"/>
      <c r="F930" s="75"/>
      <c r="G930" s="42"/>
      <c r="H930" s="43"/>
      <c r="J930" s="133"/>
      <c r="K930" s="138"/>
      <c r="L930" s="133"/>
      <c r="M930" s="139"/>
    </row>
    <row r="931" spans="1:13" s="4" customFormat="1" ht="35.1" customHeight="1" x14ac:dyDescent="0.3">
      <c r="A931" s="36">
        <v>104</v>
      </c>
      <c r="B931" s="37" t="s">
        <v>47</v>
      </c>
      <c r="C931" s="166" t="s">
        <v>906</v>
      </c>
      <c r="D931" s="39" t="s">
        <v>293</v>
      </c>
      <c r="E931" s="73">
        <v>1</v>
      </c>
      <c r="F931" s="75" t="s">
        <v>140</v>
      </c>
      <c r="G931" s="42"/>
      <c r="H931" s="43">
        <f t="shared" si="55"/>
        <v>0</v>
      </c>
      <c r="J931" s="133"/>
      <c r="K931" s="138">
        <f t="shared" si="56"/>
        <v>0</v>
      </c>
      <c r="L931" s="133"/>
      <c r="M931" s="139"/>
    </row>
    <row r="932" spans="1:13" s="4" customFormat="1" ht="35.1" customHeight="1" x14ac:dyDescent="0.3">
      <c r="A932" s="36"/>
      <c r="B932" s="37"/>
      <c r="C932" s="166"/>
      <c r="D932" s="39"/>
      <c r="E932" s="73"/>
      <c r="F932" s="75"/>
      <c r="G932" s="42"/>
      <c r="H932" s="20"/>
      <c r="J932" s="133"/>
      <c r="K932" s="138"/>
      <c r="L932" s="133"/>
      <c r="M932" s="139"/>
    </row>
    <row r="933" spans="1:13" s="4" customFormat="1" ht="35.1" customHeight="1" x14ac:dyDescent="0.3">
      <c r="A933" s="36">
        <v>105</v>
      </c>
      <c r="B933" s="37" t="s">
        <v>47</v>
      </c>
      <c r="C933" s="166" t="s">
        <v>907</v>
      </c>
      <c r="D933" s="39" t="s">
        <v>294</v>
      </c>
      <c r="E933" s="73">
        <v>1</v>
      </c>
      <c r="F933" s="75" t="s">
        <v>140</v>
      </c>
      <c r="G933" s="42"/>
      <c r="H933" s="43">
        <f t="shared" si="55"/>
        <v>0</v>
      </c>
      <c r="J933" s="133"/>
      <c r="K933" s="138">
        <f t="shared" si="56"/>
        <v>0</v>
      </c>
      <c r="L933" s="133"/>
      <c r="M933" s="139"/>
    </row>
    <row r="934" spans="1:13" s="4" customFormat="1" ht="35.1" customHeight="1" x14ac:dyDescent="0.3">
      <c r="A934" s="21"/>
      <c r="B934" s="22"/>
      <c r="C934" s="23"/>
      <c r="D934" s="24"/>
      <c r="E934" s="72"/>
      <c r="F934" s="64"/>
      <c r="G934" s="27"/>
      <c r="H934" s="20"/>
      <c r="J934" s="133"/>
      <c r="K934" s="138"/>
      <c r="L934" s="133"/>
      <c r="M934" s="139"/>
    </row>
    <row r="935" spans="1:13" s="4" customFormat="1" ht="35.1" customHeight="1" x14ac:dyDescent="0.3">
      <c r="A935" s="13">
        <v>106</v>
      </c>
      <c r="B935" s="14" t="s">
        <v>12</v>
      </c>
      <c r="C935" s="15" t="s">
        <v>144</v>
      </c>
      <c r="D935" s="16" t="s">
        <v>145</v>
      </c>
      <c r="E935" s="65">
        <v>1</v>
      </c>
      <c r="F935" s="74" t="s">
        <v>67</v>
      </c>
      <c r="G935" s="19"/>
      <c r="H935" s="20">
        <f t="shared" si="55"/>
        <v>0</v>
      </c>
      <c r="J935" s="133"/>
      <c r="K935" s="138">
        <f t="shared" si="56"/>
        <v>0</v>
      </c>
      <c r="L935" s="133"/>
      <c r="M935" s="139"/>
    </row>
    <row r="936" spans="1:13" s="4" customFormat="1" ht="35.1" customHeight="1" x14ac:dyDescent="0.3">
      <c r="A936" s="21"/>
      <c r="B936" s="22"/>
      <c r="C936" s="23"/>
      <c r="D936" s="24"/>
      <c r="E936" s="72"/>
      <c r="F936" s="64"/>
      <c r="G936" s="27"/>
      <c r="H936" s="20"/>
      <c r="J936" s="133"/>
      <c r="K936" s="138"/>
      <c r="L936" s="133"/>
      <c r="M936" s="139"/>
    </row>
    <row r="937" spans="1:13" s="4" customFormat="1" ht="35.1" customHeight="1" x14ac:dyDescent="0.3">
      <c r="A937" s="36">
        <v>107</v>
      </c>
      <c r="B937" s="37" t="s">
        <v>47</v>
      </c>
      <c r="C937" s="38" t="s">
        <v>191</v>
      </c>
      <c r="D937" s="39" t="s">
        <v>170</v>
      </c>
      <c r="E937" s="73">
        <v>1</v>
      </c>
      <c r="F937" s="75" t="s">
        <v>67</v>
      </c>
      <c r="G937" s="42"/>
      <c r="H937" s="43">
        <f t="shared" si="55"/>
        <v>0</v>
      </c>
      <c r="J937" s="133">
        <f>156/1000</f>
        <v>0.156</v>
      </c>
      <c r="K937" s="138">
        <f t="shared" si="56"/>
        <v>0.156</v>
      </c>
      <c r="L937" s="133"/>
      <c r="M937" s="139"/>
    </row>
    <row r="938" spans="1:13" s="4" customFormat="1" ht="35.1" customHeight="1" x14ac:dyDescent="0.3">
      <c r="A938" s="36"/>
      <c r="B938" s="37"/>
      <c r="C938" s="38"/>
      <c r="D938" s="24"/>
      <c r="E938" s="72"/>
      <c r="F938" s="64"/>
      <c r="G938" s="42"/>
      <c r="H938" s="20"/>
      <c r="J938" s="133"/>
      <c r="K938" s="138"/>
      <c r="L938" s="133"/>
      <c r="M938" s="139"/>
    </row>
    <row r="939" spans="1:13" s="4" customFormat="1" ht="35.1" customHeight="1" x14ac:dyDescent="0.3">
      <c r="A939" s="13">
        <v>108</v>
      </c>
      <c r="B939" s="14" t="s">
        <v>12</v>
      </c>
      <c r="C939" s="15" t="s">
        <v>246</v>
      </c>
      <c r="D939" s="16" t="s">
        <v>247</v>
      </c>
      <c r="E939" s="65">
        <v>2</v>
      </c>
      <c r="F939" s="74" t="s">
        <v>67</v>
      </c>
      <c r="G939" s="19"/>
      <c r="H939" s="20">
        <f t="shared" ref="H939:H966" si="57">E939*G939</f>
        <v>0</v>
      </c>
      <c r="J939" s="133"/>
      <c r="K939" s="138">
        <f t="shared" si="56"/>
        <v>0</v>
      </c>
      <c r="L939" s="133"/>
      <c r="M939" s="139"/>
    </row>
    <row r="940" spans="1:13" s="4" customFormat="1" ht="35.1" customHeight="1" x14ac:dyDescent="0.3">
      <c r="A940" s="13"/>
      <c r="B940" s="22"/>
      <c r="C940" s="23"/>
      <c r="D940" s="24"/>
      <c r="E940" s="72"/>
      <c r="F940" s="64"/>
      <c r="G940" s="27"/>
      <c r="H940" s="20"/>
      <c r="J940" s="133"/>
      <c r="K940" s="138"/>
      <c r="L940" s="133"/>
      <c r="M940" s="139"/>
    </row>
    <row r="941" spans="1:13" s="4" customFormat="1" ht="35.1" customHeight="1" x14ac:dyDescent="0.3">
      <c r="A941" s="36">
        <v>109</v>
      </c>
      <c r="B941" s="37" t="s">
        <v>47</v>
      </c>
      <c r="C941" s="38" t="s">
        <v>248</v>
      </c>
      <c r="D941" s="39" t="s">
        <v>249</v>
      </c>
      <c r="E941" s="73">
        <v>2</v>
      </c>
      <c r="F941" s="75" t="s">
        <v>67</v>
      </c>
      <c r="G941" s="42"/>
      <c r="H941" s="43">
        <f t="shared" si="57"/>
        <v>0</v>
      </c>
      <c r="J941" s="133">
        <f>0.057</f>
        <v>5.7000000000000002E-2</v>
      </c>
      <c r="K941" s="138">
        <f t="shared" si="56"/>
        <v>0.114</v>
      </c>
      <c r="L941" s="133"/>
      <c r="M941" s="139"/>
    </row>
    <row r="942" spans="1:13" s="4" customFormat="1" ht="35.1" customHeight="1" x14ac:dyDescent="0.3">
      <c r="A942" s="36"/>
      <c r="B942" s="22"/>
      <c r="C942" s="23"/>
      <c r="D942" s="24"/>
      <c r="E942" s="72"/>
      <c r="F942" s="64"/>
      <c r="G942" s="27"/>
      <c r="H942" s="28"/>
      <c r="J942" s="133"/>
      <c r="K942" s="138"/>
      <c r="L942" s="133"/>
      <c r="M942" s="139"/>
    </row>
    <row r="943" spans="1:13" s="4" customFormat="1" ht="35.1" customHeight="1" x14ac:dyDescent="0.3">
      <c r="A943" s="36">
        <v>110</v>
      </c>
      <c r="B943" s="37" t="s">
        <v>47</v>
      </c>
      <c r="C943" s="38" t="s">
        <v>250</v>
      </c>
      <c r="D943" s="39" t="s">
        <v>251</v>
      </c>
      <c r="E943" s="73">
        <v>2</v>
      </c>
      <c r="F943" s="75" t="s">
        <v>67</v>
      </c>
      <c r="G943" s="42"/>
      <c r="H943" s="43">
        <f t="shared" si="57"/>
        <v>0</v>
      </c>
      <c r="J943" s="133">
        <f>57/1000</f>
        <v>5.7000000000000002E-2</v>
      </c>
      <c r="K943" s="138">
        <f t="shared" si="56"/>
        <v>0.114</v>
      </c>
      <c r="L943" s="133"/>
      <c r="M943" s="139"/>
    </row>
    <row r="944" spans="1:13" s="4" customFormat="1" ht="35.1" customHeight="1" x14ac:dyDescent="0.3">
      <c r="A944" s="36"/>
      <c r="B944" s="22"/>
      <c r="C944" s="23"/>
      <c r="D944" s="24"/>
      <c r="E944" s="72"/>
      <c r="F944" s="64"/>
      <c r="G944" s="27"/>
      <c r="H944" s="28"/>
      <c r="J944" s="133"/>
      <c r="K944" s="138"/>
      <c r="L944" s="133"/>
      <c r="M944" s="139"/>
    </row>
    <row r="945" spans="1:13" s="4" customFormat="1" ht="35.1" customHeight="1" x14ac:dyDescent="0.3">
      <c r="A945" s="36">
        <v>111</v>
      </c>
      <c r="B945" s="37" t="s">
        <v>47</v>
      </c>
      <c r="C945" s="38" t="s">
        <v>252</v>
      </c>
      <c r="D945" s="39" t="s">
        <v>253</v>
      </c>
      <c r="E945" s="73">
        <v>2</v>
      </c>
      <c r="F945" s="75" t="s">
        <v>67</v>
      </c>
      <c r="G945" s="42"/>
      <c r="H945" s="43">
        <f t="shared" si="57"/>
        <v>0</v>
      </c>
      <c r="J945" s="133">
        <f>111/1000</f>
        <v>0.111</v>
      </c>
      <c r="K945" s="138">
        <f t="shared" si="56"/>
        <v>0.222</v>
      </c>
      <c r="L945" s="133"/>
      <c r="M945" s="139"/>
    </row>
    <row r="946" spans="1:13" s="4" customFormat="1" ht="35.1" customHeight="1" x14ac:dyDescent="0.3">
      <c r="A946" s="36"/>
      <c r="B946" s="22"/>
      <c r="C946" s="23"/>
      <c r="D946" s="24"/>
      <c r="E946" s="72"/>
      <c r="F946" s="64"/>
      <c r="G946" s="27"/>
      <c r="H946" s="28"/>
      <c r="J946" s="133"/>
      <c r="K946" s="138"/>
      <c r="L946" s="133"/>
      <c r="M946" s="139"/>
    </row>
    <row r="947" spans="1:13" s="4" customFormat="1" ht="35.1" customHeight="1" x14ac:dyDescent="0.3">
      <c r="A947" s="36">
        <v>112</v>
      </c>
      <c r="B947" s="37" t="s">
        <v>47</v>
      </c>
      <c r="C947" s="38" t="s">
        <v>254</v>
      </c>
      <c r="D947" s="39" t="s">
        <v>255</v>
      </c>
      <c r="E947" s="73">
        <v>2</v>
      </c>
      <c r="F947" s="75" t="s">
        <v>67</v>
      </c>
      <c r="G947" s="42"/>
      <c r="H947" s="43">
        <f t="shared" si="57"/>
        <v>0</v>
      </c>
      <c r="J947" s="133">
        <f>27/1000</f>
        <v>2.7E-2</v>
      </c>
      <c r="K947" s="138">
        <f t="shared" si="56"/>
        <v>5.3999999999999999E-2</v>
      </c>
      <c r="L947" s="133"/>
      <c r="M947" s="139"/>
    </row>
    <row r="948" spans="1:13" s="4" customFormat="1" ht="35.1" customHeight="1" x14ac:dyDescent="0.3">
      <c r="A948" s="13"/>
      <c r="B948" s="22"/>
      <c r="C948" s="23"/>
      <c r="D948" s="24"/>
      <c r="E948" s="72"/>
      <c r="F948" s="64"/>
      <c r="G948" s="27"/>
      <c r="H948" s="28"/>
      <c r="J948" s="133"/>
      <c r="K948" s="138"/>
      <c r="L948" s="133"/>
      <c r="M948" s="139"/>
    </row>
    <row r="949" spans="1:13" s="4" customFormat="1" ht="35.1" customHeight="1" x14ac:dyDescent="0.3">
      <c r="A949" s="36">
        <v>113</v>
      </c>
      <c r="B949" s="37" t="s">
        <v>47</v>
      </c>
      <c r="C949" s="38" t="s">
        <v>256</v>
      </c>
      <c r="D949" s="39" t="s">
        <v>257</v>
      </c>
      <c r="E949" s="73">
        <v>2</v>
      </c>
      <c r="F949" s="75" t="s">
        <v>67</v>
      </c>
      <c r="G949" s="42"/>
      <c r="H949" s="43">
        <f t="shared" si="57"/>
        <v>0</v>
      </c>
      <c r="J949" s="133">
        <f>64/1000</f>
        <v>6.4000000000000001E-2</v>
      </c>
      <c r="K949" s="138">
        <f t="shared" si="56"/>
        <v>0.128</v>
      </c>
      <c r="L949" s="133"/>
      <c r="M949" s="139"/>
    </row>
    <row r="950" spans="1:13" s="4" customFormat="1" ht="35.1" customHeight="1" x14ac:dyDescent="0.3">
      <c r="A950" s="36"/>
      <c r="B950" s="22"/>
      <c r="C950" s="23"/>
      <c r="D950" s="24"/>
      <c r="E950" s="72"/>
      <c r="F950" s="64"/>
      <c r="G950" s="27"/>
      <c r="H950" s="28"/>
      <c r="J950" s="133"/>
      <c r="K950" s="138"/>
      <c r="L950" s="133"/>
      <c r="M950" s="139"/>
    </row>
    <row r="951" spans="1:13" s="4" customFormat="1" ht="35.1" customHeight="1" x14ac:dyDescent="0.3">
      <c r="A951" s="36">
        <v>114</v>
      </c>
      <c r="B951" s="37" t="s">
        <v>47</v>
      </c>
      <c r="C951" s="38" t="s">
        <v>258</v>
      </c>
      <c r="D951" s="39" t="s">
        <v>259</v>
      </c>
      <c r="E951" s="73">
        <v>2</v>
      </c>
      <c r="F951" s="75" t="s">
        <v>67</v>
      </c>
      <c r="G951" s="42"/>
      <c r="H951" s="43">
        <f t="shared" si="57"/>
        <v>0</v>
      </c>
      <c r="J951" s="133">
        <f>68/1000</f>
        <v>6.8000000000000005E-2</v>
      </c>
      <c r="K951" s="138">
        <f t="shared" si="56"/>
        <v>0.13600000000000001</v>
      </c>
      <c r="L951" s="133"/>
      <c r="M951" s="139"/>
    </row>
    <row r="952" spans="1:13" s="4" customFormat="1" ht="35.1" customHeight="1" x14ac:dyDescent="0.3">
      <c r="A952" s="36"/>
      <c r="B952" s="22"/>
      <c r="C952" s="23"/>
      <c r="D952" s="24"/>
      <c r="E952" s="72"/>
      <c r="F952" s="64"/>
      <c r="G952" s="27"/>
      <c r="H952" s="28"/>
      <c r="J952" s="133"/>
      <c r="K952" s="138"/>
      <c r="L952" s="133"/>
      <c r="M952" s="139"/>
    </row>
    <row r="953" spans="1:13" s="4" customFormat="1" ht="35.1" customHeight="1" x14ac:dyDescent="0.3">
      <c r="A953" s="36">
        <v>115</v>
      </c>
      <c r="B953" s="37" t="s">
        <v>47</v>
      </c>
      <c r="C953" s="166" t="s">
        <v>335</v>
      </c>
      <c r="D953" s="39" t="s">
        <v>295</v>
      </c>
      <c r="E953" s="73">
        <v>2</v>
      </c>
      <c r="F953" s="75" t="s">
        <v>67</v>
      </c>
      <c r="G953" s="42"/>
      <c r="H953" s="43">
        <f t="shared" si="57"/>
        <v>0</v>
      </c>
      <c r="J953" s="133">
        <f>4/1000</f>
        <v>4.0000000000000001E-3</v>
      </c>
      <c r="K953" s="138">
        <f t="shared" si="56"/>
        <v>8.0000000000000002E-3</v>
      </c>
      <c r="L953" s="133"/>
      <c r="M953" s="139"/>
    </row>
    <row r="954" spans="1:13" s="4" customFormat="1" ht="35.1" customHeight="1" x14ac:dyDescent="0.3">
      <c r="A954" s="13"/>
      <c r="B954" s="14"/>
      <c r="C954" s="15"/>
      <c r="D954" s="16"/>
      <c r="E954" s="17"/>
      <c r="F954" s="18"/>
      <c r="G954" s="19"/>
      <c r="H954" s="20"/>
      <c r="J954" s="133"/>
      <c r="K954" s="138"/>
      <c r="L954" s="133"/>
      <c r="M954" s="139"/>
    </row>
    <row r="955" spans="1:13" s="4" customFormat="1" ht="35.1" customHeight="1" x14ac:dyDescent="0.3">
      <c r="A955" s="13">
        <v>116</v>
      </c>
      <c r="B955" s="14" t="s">
        <v>12</v>
      </c>
      <c r="C955" s="15" t="s">
        <v>146</v>
      </c>
      <c r="D955" s="16" t="s">
        <v>147</v>
      </c>
      <c r="E955" s="65">
        <f>E956</f>
        <v>1</v>
      </c>
      <c r="F955" s="74" t="s">
        <v>17</v>
      </c>
      <c r="G955" s="19"/>
      <c r="H955" s="20">
        <f t="shared" si="57"/>
        <v>0</v>
      </c>
      <c r="J955" s="133">
        <v>2.4</v>
      </c>
      <c r="K955" s="138">
        <f t="shared" si="56"/>
        <v>2.4</v>
      </c>
      <c r="L955" s="133"/>
      <c r="M955" s="139"/>
    </row>
    <row r="956" spans="1:13" s="4" customFormat="1" ht="35.1" customHeight="1" x14ac:dyDescent="0.3">
      <c r="A956" s="13"/>
      <c r="B956" s="14"/>
      <c r="C956" s="15"/>
      <c r="D956" s="16" t="s">
        <v>892</v>
      </c>
      <c r="E956" s="65">
        <v>1</v>
      </c>
      <c r="F956" s="74" t="s">
        <v>17</v>
      </c>
      <c r="G956" s="19"/>
      <c r="H956" s="20"/>
      <c r="J956" s="133"/>
      <c r="K956" s="138"/>
      <c r="L956" s="133"/>
      <c r="M956" s="139"/>
    </row>
    <row r="957" spans="1:13" s="4" customFormat="1" ht="35.1" customHeight="1" x14ac:dyDescent="0.3">
      <c r="A957" s="21"/>
      <c r="B957" s="22"/>
      <c r="C957" s="23"/>
      <c r="D957" s="24"/>
      <c r="E957" s="72"/>
      <c r="F957" s="64"/>
      <c r="G957" s="27"/>
      <c r="H957" s="20"/>
      <c r="J957" s="133"/>
      <c r="K957" s="138"/>
      <c r="L957" s="133"/>
      <c r="M957" s="139"/>
    </row>
    <row r="958" spans="1:13" s="4" customFormat="1" ht="35.1" customHeight="1" x14ac:dyDescent="0.3">
      <c r="A958" s="13">
        <v>117</v>
      </c>
      <c r="B958" s="14" t="s">
        <v>12</v>
      </c>
      <c r="C958" s="15" t="s">
        <v>224</v>
      </c>
      <c r="D958" s="16" t="s">
        <v>296</v>
      </c>
      <c r="E958" s="65">
        <v>2</v>
      </c>
      <c r="F958" s="74" t="s">
        <v>67</v>
      </c>
      <c r="G958" s="19"/>
      <c r="H958" s="20">
        <f t="shared" si="57"/>
        <v>0</v>
      </c>
      <c r="J958" s="133"/>
      <c r="K958" s="138"/>
      <c r="L958" s="133"/>
      <c r="M958" s="139"/>
    </row>
    <row r="959" spans="1:13" s="4" customFormat="1" ht="35.1" customHeight="1" x14ac:dyDescent="0.3">
      <c r="A959" s="21"/>
      <c r="B959" s="22"/>
      <c r="C959" s="23"/>
      <c r="D959" s="24"/>
      <c r="E959" s="72"/>
      <c r="F959" s="64"/>
      <c r="G959" s="27"/>
      <c r="H959" s="20"/>
      <c r="J959" s="133"/>
      <c r="K959" s="138"/>
      <c r="L959" s="133"/>
      <c r="M959" s="139"/>
    </row>
    <row r="960" spans="1:13" s="4" customFormat="1" ht="35.1" customHeight="1" x14ac:dyDescent="0.3">
      <c r="A960" s="13">
        <v>118</v>
      </c>
      <c r="B960" s="14" t="s">
        <v>12</v>
      </c>
      <c r="C960" s="15" t="s">
        <v>148</v>
      </c>
      <c r="D960" s="16" t="s">
        <v>149</v>
      </c>
      <c r="E960" s="196">
        <v>114</v>
      </c>
      <c r="F960" s="74" t="s">
        <v>64</v>
      </c>
      <c r="G960" s="19"/>
      <c r="H960" s="20">
        <f t="shared" si="57"/>
        <v>0</v>
      </c>
      <c r="J960" s="133"/>
      <c r="K960" s="138"/>
      <c r="L960" s="133"/>
      <c r="M960" s="139"/>
    </row>
    <row r="961" spans="1:13" s="4" customFormat="1" ht="35.1" customHeight="1" x14ac:dyDescent="0.3">
      <c r="A961" s="21"/>
      <c r="B961" s="22"/>
      <c r="C961" s="23"/>
      <c r="D961" s="24" t="s">
        <v>297</v>
      </c>
      <c r="E961" s="184"/>
      <c r="F961" s="64"/>
      <c r="G961" s="27"/>
      <c r="H961" s="20"/>
      <c r="J961" s="133"/>
      <c r="K961" s="138"/>
      <c r="L961" s="133"/>
      <c r="M961" s="139"/>
    </row>
    <row r="962" spans="1:13" s="4" customFormat="1" ht="35.1" customHeight="1" x14ac:dyDescent="0.3">
      <c r="A962" s="21"/>
      <c r="B962" s="22"/>
      <c r="C962" s="23"/>
      <c r="D962" s="24"/>
      <c r="E962" s="184"/>
      <c r="F962" s="64"/>
      <c r="G962" s="27"/>
      <c r="H962" s="20"/>
      <c r="J962" s="133"/>
      <c r="K962" s="138"/>
      <c r="L962" s="133"/>
      <c r="M962" s="139"/>
    </row>
    <row r="963" spans="1:13" s="4" customFormat="1" ht="35.1" customHeight="1" x14ac:dyDescent="0.3">
      <c r="A963" s="13">
        <v>119</v>
      </c>
      <c r="B963" s="14" t="s">
        <v>12</v>
      </c>
      <c r="C963" s="15" t="s">
        <v>227</v>
      </c>
      <c r="D963" s="16" t="s">
        <v>150</v>
      </c>
      <c r="E963" s="196">
        <v>114</v>
      </c>
      <c r="F963" s="74" t="s">
        <v>64</v>
      </c>
      <c r="G963" s="19"/>
      <c r="H963" s="20">
        <f t="shared" si="57"/>
        <v>0</v>
      </c>
      <c r="J963" s="133"/>
      <c r="K963" s="138"/>
      <c r="L963" s="133"/>
      <c r="M963" s="139"/>
    </row>
    <row r="964" spans="1:13" s="4" customFormat="1" ht="35.1" customHeight="1" x14ac:dyDescent="0.3">
      <c r="A964" s="21"/>
      <c r="B964" s="22"/>
      <c r="C964" s="23"/>
      <c r="D964" s="24" t="s">
        <v>228</v>
      </c>
      <c r="E964" s="184"/>
      <c r="F964" s="64"/>
      <c r="G964" s="27"/>
      <c r="H964" s="20"/>
      <c r="J964" s="133"/>
      <c r="K964" s="138"/>
      <c r="L964" s="133"/>
      <c r="M964" s="139"/>
    </row>
    <row r="965" spans="1:13" s="4" customFormat="1" ht="35.1" customHeight="1" x14ac:dyDescent="0.3">
      <c r="A965" s="21"/>
      <c r="B965" s="22"/>
      <c r="C965" s="23"/>
      <c r="D965" s="24"/>
      <c r="E965" s="184"/>
      <c r="F965" s="64"/>
      <c r="G965" s="27"/>
      <c r="H965" s="20"/>
      <c r="J965" s="133"/>
      <c r="K965" s="138"/>
      <c r="L965" s="133"/>
      <c r="M965" s="139"/>
    </row>
    <row r="966" spans="1:13" s="4" customFormat="1" ht="35.1" customHeight="1" x14ac:dyDescent="0.3">
      <c r="A966" s="13">
        <v>120</v>
      </c>
      <c r="B966" s="14" t="s">
        <v>12</v>
      </c>
      <c r="C966" s="15" t="s">
        <v>226</v>
      </c>
      <c r="D966" s="16" t="s">
        <v>225</v>
      </c>
      <c r="E966" s="196">
        <v>114</v>
      </c>
      <c r="F966" s="74" t="s">
        <v>64</v>
      </c>
      <c r="G966" s="19"/>
      <c r="H966" s="20">
        <f t="shared" si="57"/>
        <v>0</v>
      </c>
      <c r="J966" s="133"/>
      <c r="K966" s="138"/>
      <c r="L966" s="133"/>
      <c r="M966" s="139"/>
    </row>
    <row r="967" spans="1:13" s="4" customFormat="1" ht="35.1" customHeight="1" x14ac:dyDescent="0.3">
      <c r="A967" s="13"/>
      <c r="B967" s="14"/>
      <c r="C967" s="15"/>
      <c r="D967" s="16" t="s">
        <v>228</v>
      </c>
      <c r="E967" s="17"/>
      <c r="F967" s="18"/>
      <c r="G967" s="19"/>
      <c r="H967" s="20"/>
      <c r="J967" s="133"/>
      <c r="K967" s="138"/>
      <c r="L967" s="133"/>
      <c r="M967" s="139"/>
    </row>
    <row r="968" spans="1:13" s="161" customFormat="1" ht="35.1" customHeight="1" x14ac:dyDescent="0.2">
      <c r="A968" s="158"/>
      <c r="B968" s="159" t="s">
        <v>3</v>
      </c>
      <c r="C968" s="159" t="s">
        <v>22</v>
      </c>
      <c r="D968" s="159" t="s">
        <v>156</v>
      </c>
      <c r="E968" s="160"/>
      <c r="F968" s="159"/>
      <c r="G968" s="69"/>
      <c r="H968" s="70">
        <f>SUM(H670:H967)</f>
        <v>0</v>
      </c>
      <c r="J968" s="162"/>
      <c r="K968" s="138"/>
      <c r="L968" s="162"/>
      <c r="M968" s="163"/>
    </row>
    <row r="969" spans="1:13" s="71" customFormat="1" ht="35.1" customHeight="1" x14ac:dyDescent="0.2">
      <c r="A969" s="66"/>
      <c r="B969" s="67"/>
      <c r="C969" s="67"/>
      <c r="D969" s="67"/>
      <c r="E969" s="68"/>
      <c r="F969" s="67"/>
      <c r="G969" s="69"/>
      <c r="H969" s="70"/>
      <c r="J969" s="130"/>
      <c r="K969" s="138"/>
      <c r="L969" s="130"/>
      <c r="M969" s="132"/>
    </row>
    <row r="970" spans="1:13" s="71" customFormat="1" ht="35.1" customHeight="1" x14ac:dyDescent="0.2">
      <c r="A970" s="66"/>
      <c r="B970" s="67" t="s">
        <v>3</v>
      </c>
      <c r="C970" s="67" t="s">
        <v>25</v>
      </c>
      <c r="D970" s="67" t="s">
        <v>97</v>
      </c>
      <c r="E970" s="68"/>
      <c r="F970" s="67"/>
      <c r="G970" s="69"/>
      <c r="H970" s="70"/>
      <c r="J970" s="130"/>
      <c r="K970" s="138"/>
      <c r="L970" s="130"/>
      <c r="M970" s="132"/>
    </row>
    <row r="971" spans="1:13" s="177" customFormat="1" ht="35.1" customHeight="1" x14ac:dyDescent="0.3">
      <c r="A971" s="287">
        <v>121</v>
      </c>
      <c r="B971" s="278" t="s">
        <v>12</v>
      </c>
      <c r="C971" s="186" t="s">
        <v>98</v>
      </c>
      <c r="D971" s="193" t="s">
        <v>99</v>
      </c>
      <c r="E971" s="197">
        <v>8</v>
      </c>
      <c r="F971" s="299" t="s">
        <v>64</v>
      </c>
      <c r="G971" s="19"/>
      <c r="H971" s="20">
        <f>E971*G971</f>
        <v>0</v>
      </c>
      <c r="J971" s="178">
        <v>8.6800000000000002E-3</v>
      </c>
      <c r="K971" s="280">
        <f t="shared" ref="K971:K977" si="58">E971*J971</f>
        <v>6.9440000000000002E-2</v>
      </c>
      <c r="L971" s="178"/>
      <c r="M971" s="179"/>
    </row>
    <row r="972" spans="1:13" s="189" customFormat="1" ht="35.1" customHeight="1" x14ac:dyDescent="0.3">
      <c r="A972" s="180"/>
      <c r="B972" s="181"/>
      <c r="C972" s="182"/>
      <c r="D972" s="183"/>
      <c r="E972" s="187"/>
      <c r="F972" s="188"/>
      <c r="G972" s="27"/>
      <c r="H972" s="20"/>
      <c r="J972" s="190"/>
      <c r="K972" s="280"/>
      <c r="L972" s="190"/>
      <c r="M972" s="300"/>
    </row>
    <row r="973" spans="1:13" s="177" customFormat="1" ht="35.1" customHeight="1" x14ac:dyDescent="0.3">
      <c r="A973" s="287">
        <v>122</v>
      </c>
      <c r="B973" s="278" t="s">
        <v>12</v>
      </c>
      <c r="C973" s="186" t="s">
        <v>100</v>
      </c>
      <c r="D973" s="193" t="s">
        <v>101</v>
      </c>
      <c r="E973" s="197">
        <v>8</v>
      </c>
      <c r="F973" s="299" t="s">
        <v>64</v>
      </c>
      <c r="G973" s="19"/>
      <c r="H973" s="20">
        <f t="shared" ref="H973:H1072" si="59">E973*G973</f>
        <v>0</v>
      </c>
      <c r="J973" s="178">
        <v>3.6900000000000002E-2</v>
      </c>
      <c r="K973" s="280">
        <f t="shared" si="58"/>
        <v>0.29520000000000002</v>
      </c>
      <c r="L973" s="178"/>
      <c r="M973" s="179"/>
    </row>
    <row r="974" spans="1:13" s="29" customFormat="1" ht="35.1" customHeight="1" x14ac:dyDescent="0.3">
      <c r="A974" s="21"/>
      <c r="B974" s="22"/>
      <c r="C974" s="23"/>
      <c r="D974" s="24"/>
      <c r="E974" s="25"/>
      <c r="F974" s="26"/>
      <c r="G974" s="27"/>
      <c r="H974" s="20"/>
      <c r="J974" s="134"/>
      <c r="K974" s="138"/>
      <c r="L974" s="134"/>
      <c r="M974" s="142"/>
    </row>
    <row r="975" spans="1:13" s="4" customFormat="1" ht="35.1" customHeight="1" x14ac:dyDescent="0.3">
      <c r="A975" s="13">
        <v>123</v>
      </c>
      <c r="B975" s="14" t="s">
        <v>12</v>
      </c>
      <c r="C975" s="15" t="s">
        <v>102</v>
      </c>
      <c r="D975" s="16" t="s">
        <v>103</v>
      </c>
      <c r="E975" s="17">
        <v>8</v>
      </c>
      <c r="F975" s="18" t="s">
        <v>64</v>
      </c>
      <c r="G975" s="19"/>
      <c r="H975" s="20">
        <f t="shared" si="59"/>
        <v>0</v>
      </c>
      <c r="J975" s="133">
        <v>6.053E-2</v>
      </c>
      <c r="K975" s="138">
        <f t="shared" si="58"/>
        <v>0.48424</v>
      </c>
      <c r="L975" s="133"/>
      <c r="M975" s="139"/>
    </row>
    <row r="976" spans="1:13" s="29" customFormat="1" ht="35.1" customHeight="1" x14ac:dyDescent="0.3">
      <c r="A976" s="21"/>
      <c r="B976" s="22"/>
      <c r="C976" s="23"/>
      <c r="D976" s="24"/>
      <c r="E976" s="25"/>
      <c r="F976" s="26"/>
      <c r="G976" s="27"/>
      <c r="H976" s="20"/>
      <c r="J976" s="134"/>
      <c r="K976" s="138"/>
      <c r="L976" s="134"/>
      <c r="M976" s="142"/>
    </row>
    <row r="977" spans="1:13" s="4" customFormat="1" ht="35.1" customHeight="1" x14ac:dyDescent="0.3">
      <c r="A977" s="13">
        <v>124</v>
      </c>
      <c r="B977" s="14" t="s">
        <v>12</v>
      </c>
      <c r="C977" s="15" t="s">
        <v>104</v>
      </c>
      <c r="D977" s="16" t="s">
        <v>105</v>
      </c>
      <c r="E977" s="17">
        <v>3</v>
      </c>
      <c r="F977" s="18" t="s">
        <v>67</v>
      </c>
      <c r="G977" s="19"/>
      <c r="H977" s="20">
        <f t="shared" si="59"/>
        <v>0</v>
      </c>
      <c r="J977" s="133">
        <v>8.0000000000000004E-4</v>
      </c>
      <c r="K977" s="138">
        <f t="shared" si="58"/>
        <v>2.4000000000000002E-3</v>
      </c>
      <c r="L977" s="133"/>
      <c r="M977" s="139"/>
    </row>
    <row r="978" spans="1:13" s="29" customFormat="1" ht="35.1" customHeight="1" x14ac:dyDescent="0.3">
      <c r="A978" s="21"/>
      <c r="B978" s="22"/>
      <c r="C978" s="23"/>
      <c r="D978" s="24"/>
      <c r="E978" s="25"/>
      <c r="F978" s="26"/>
      <c r="G978" s="27"/>
      <c r="H978" s="20"/>
      <c r="J978" s="134"/>
      <c r="K978" s="138"/>
      <c r="L978" s="134"/>
      <c r="M978" s="142"/>
    </row>
    <row r="979" spans="1:13" s="4" customFormat="1" ht="35.1" customHeight="1" x14ac:dyDescent="0.3">
      <c r="A979" s="13">
        <v>125</v>
      </c>
      <c r="B979" s="14" t="s">
        <v>12</v>
      </c>
      <c r="C979" s="15" t="s">
        <v>106</v>
      </c>
      <c r="D979" s="16" t="s">
        <v>107</v>
      </c>
      <c r="E979" s="17">
        <v>4</v>
      </c>
      <c r="F979" s="18" t="s">
        <v>67</v>
      </c>
      <c r="G979" s="19"/>
      <c r="H979" s="20">
        <f t="shared" si="59"/>
        <v>0</v>
      </c>
      <c r="J979" s="133">
        <v>0</v>
      </c>
      <c r="K979" s="138"/>
      <c r="L979" s="133"/>
      <c r="M979" s="139"/>
    </row>
    <row r="980" spans="1:13" s="29" customFormat="1" ht="35.1" customHeight="1" x14ac:dyDescent="0.3">
      <c r="A980" s="21"/>
      <c r="B980" s="22"/>
      <c r="C980" s="23"/>
      <c r="D980" s="24"/>
      <c r="E980" s="25"/>
      <c r="F980" s="26"/>
      <c r="G980" s="27"/>
      <c r="H980" s="20"/>
      <c r="J980" s="134"/>
      <c r="K980" s="138"/>
      <c r="L980" s="134"/>
      <c r="M980" s="142"/>
    </row>
    <row r="981" spans="1:13" s="4" customFormat="1" ht="35.1" customHeight="1" x14ac:dyDescent="0.3">
      <c r="A981" s="13">
        <v>126</v>
      </c>
      <c r="B981" s="14" t="s">
        <v>12</v>
      </c>
      <c r="C981" s="15" t="s">
        <v>194</v>
      </c>
      <c r="D981" s="16" t="s">
        <v>261</v>
      </c>
      <c r="E981" s="17">
        <f>E1060</f>
        <v>496.5</v>
      </c>
      <c r="F981" s="18" t="s">
        <v>64</v>
      </c>
      <c r="G981" s="19"/>
      <c r="H981" s="20">
        <f t="shared" si="59"/>
        <v>0</v>
      </c>
      <c r="J981" s="133">
        <v>0</v>
      </c>
      <c r="K981" s="138"/>
      <c r="L981" s="133"/>
      <c r="M981" s="139"/>
    </row>
    <row r="982" spans="1:13" s="4" customFormat="1" ht="35.1" customHeight="1" x14ac:dyDescent="0.3">
      <c r="A982" s="13"/>
      <c r="B982" s="14"/>
      <c r="C982" s="15"/>
      <c r="D982" s="16" t="s">
        <v>355</v>
      </c>
      <c r="E982" s="65"/>
      <c r="F982" s="74"/>
      <c r="G982" s="19"/>
      <c r="H982" s="20"/>
      <c r="J982" s="133"/>
      <c r="K982" s="138"/>
      <c r="L982" s="133"/>
      <c r="M982" s="139"/>
    </row>
    <row r="983" spans="1:13" s="4" customFormat="1" ht="35.1" customHeight="1" x14ac:dyDescent="0.3">
      <c r="A983" s="13"/>
      <c r="B983" s="14"/>
      <c r="C983" s="15"/>
      <c r="D983" s="16" t="s">
        <v>377</v>
      </c>
      <c r="E983" s="65"/>
      <c r="F983" s="74"/>
      <c r="G983" s="19"/>
      <c r="H983" s="20"/>
      <c r="J983" s="133"/>
      <c r="K983" s="138"/>
      <c r="L983" s="133"/>
      <c r="M983" s="139"/>
    </row>
    <row r="984" spans="1:13" s="4" customFormat="1" ht="35.1" customHeight="1" x14ac:dyDescent="0.3">
      <c r="A984" s="13"/>
      <c r="B984" s="14"/>
      <c r="C984" s="15"/>
      <c r="D984" s="16" t="s">
        <v>813</v>
      </c>
      <c r="E984" s="65">
        <f>2*(116-6)</f>
        <v>220</v>
      </c>
      <c r="F984" s="74" t="s">
        <v>64</v>
      </c>
      <c r="G984" s="19"/>
      <c r="H984" s="20"/>
      <c r="J984" s="133"/>
      <c r="K984" s="138"/>
      <c r="L984" s="133"/>
      <c r="M984" s="139"/>
    </row>
    <row r="985" spans="1:13" s="4" customFormat="1" ht="35.1" customHeight="1" x14ac:dyDescent="0.3">
      <c r="A985" s="13"/>
      <c r="B985" s="14"/>
      <c r="C985" s="15"/>
      <c r="D985" s="246" t="s">
        <v>843</v>
      </c>
      <c r="E985" s="247">
        <f>SUM(E984)/2</f>
        <v>110</v>
      </c>
      <c r="F985" s="248" t="s">
        <v>64</v>
      </c>
      <c r="G985" s="19"/>
      <c r="H985" s="20"/>
      <c r="J985" s="133"/>
      <c r="K985" s="138"/>
      <c r="L985" s="133"/>
      <c r="M985" s="139"/>
    </row>
    <row r="986" spans="1:13" s="4" customFormat="1" ht="35.1" customHeight="1" x14ac:dyDescent="0.3">
      <c r="A986" s="13"/>
      <c r="B986" s="14"/>
      <c r="C986" s="15"/>
      <c r="D986" s="16" t="s">
        <v>356</v>
      </c>
      <c r="E986" s="65"/>
      <c r="F986" s="74"/>
      <c r="G986" s="19"/>
      <c r="H986" s="20"/>
      <c r="J986" s="133"/>
      <c r="K986" s="138"/>
      <c r="L986" s="133"/>
      <c r="M986" s="139"/>
    </row>
    <row r="987" spans="1:13" s="4" customFormat="1" ht="35.1" customHeight="1" x14ac:dyDescent="0.3">
      <c r="A987" s="13"/>
      <c r="B987" s="14"/>
      <c r="C987" s="15"/>
      <c r="D987" s="16" t="s">
        <v>357</v>
      </c>
      <c r="E987" s="65"/>
      <c r="F987" s="74"/>
      <c r="G987" s="19"/>
      <c r="H987" s="20"/>
      <c r="J987" s="133"/>
      <c r="K987" s="138"/>
      <c r="L987" s="133"/>
      <c r="M987" s="139"/>
    </row>
    <row r="988" spans="1:13" s="4" customFormat="1" ht="35.1" customHeight="1" x14ac:dyDescent="0.3">
      <c r="A988" s="13"/>
      <c r="B988" s="14"/>
      <c r="C988" s="15"/>
      <c r="D988" s="16" t="s">
        <v>814</v>
      </c>
      <c r="E988" s="65">
        <f>2*2.5</f>
        <v>5</v>
      </c>
      <c r="F988" s="74" t="s">
        <v>64</v>
      </c>
      <c r="G988" s="19"/>
      <c r="H988" s="20"/>
      <c r="J988" s="133"/>
      <c r="K988" s="138"/>
      <c r="L988" s="133"/>
      <c r="M988" s="139"/>
    </row>
    <row r="989" spans="1:13" s="4" customFormat="1" ht="35.1" customHeight="1" x14ac:dyDescent="0.3">
      <c r="A989" s="13"/>
      <c r="B989" s="14"/>
      <c r="C989" s="15"/>
      <c r="D989" s="16" t="s">
        <v>815</v>
      </c>
      <c r="E989" s="65">
        <f t="shared" ref="E989:E1000" si="60">2*2.5</f>
        <v>5</v>
      </c>
      <c r="F989" s="74" t="s">
        <v>64</v>
      </c>
      <c r="G989" s="19"/>
      <c r="H989" s="20"/>
      <c r="J989" s="133"/>
      <c r="K989" s="138"/>
      <c r="L989" s="133"/>
      <c r="M989" s="139"/>
    </row>
    <row r="990" spans="1:13" s="4" customFormat="1" ht="35.1" customHeight="1" x14ac:dyDescent="0.3">
      <c r="A990" s="13"/>
      <c r="B990" s="14"/>
      <c r="C990" s="15"/>
      <c r="D990" s="16" t="s">
        <v>816</v>
      </c>
      <c r="E990" s="65">
        <f t="shared" si="60"/>
        <v>5</v>
      </c>
      <c r="F990" s="74" t="s">
        <v>64</v>
      </c>
      <c r="G990" s="19"/>
      <c r="H990" s="20"/>
      <c r="J990" s="133"/>
      <c r="K990" s="138"/>
      <c r="L990" s="133"/>
      <c r="M990" s="139"/>
    </row>
    <row r="991" spans="1:13" s="4" customFormat="1" ht="35.1" customHeight="1" x14ac:dyDescent="0.3">
      <c r="A991" s="13"/>
      <c r="B991" s="14"/>
      <c r="C991" s="15"/>
      <c r="D991" s="16" t="s">
        <v>817</v>
      </c>
      <c r="E991" s="65">
        <f t="shared" si="60"/>
        <v>5</v>
      </c>
      <c r="F991" s="74" t="s">
        <v>64</v>
      </c>
      <c r="G991" s="19"/>
      <c r="H991" s="20"/>
      <c r="J991" s="133"/>
      <c r="K991" s="138"/>
      <c r="L991" s="133"/>
      <c r="M991" s="139"/>
    </row>
    <row r="992" spans="1:13" s="4" customFormat="1" ht="35.1" customHeight="1" x14ac:dyDescent="0.3">
      <c r="A992" s="13"/>
      <c r="B992" s="14"/>
      <c r="C992" s="15"/>
      <c r="D992" s="16" t="s">
        <v>818</v>
      </c>
      <c r="E992" s="65">
        <f t="shared" si="60"/>
        <v>5</v>
      </c>
      <c r="F992" s="74" t="s">
        <v>64</v>
      </c>
      <c r="G992" s="19"/>
      <c r="H992" s="20"/>
      <c r="J992" s="133"/>
      <c r="K992" s="138"/>
      <c r="L992" s="133"/>
      <c r="M992" s="139"/>
    </row>
    <row r="993" spans="1:13" s="4" customFormat="1" ht="35.1" customHeight="1" x14ac:dyDescent="0.3">
      <c r="A993" s="13"/>
      <c r="B993" s="14"/>
      <c r="C993" s="15"/>
      <c r="D993" s="16" t="s">
        <v>819</v>
      </c>
      <c r="E993" s="65">
        <f t="shared" si="60"/>
        <v>5</v>
      </c>
      <c r="F993" s="74" t="s">
        <v>64</v>
      </c>
      <c r="G993" s="19"/>
      <c r="H993" s="20"/>
      <c r="J993" s="133"/>
      <c r="K993" s="138"/>
      <c r="L993" s="133"/>
      <c r="M993" s="139"/>
    </row>
    <row r="994" spans="1:13" s="4" customFormat="1" ht="35.1" customHeight="1" x14ac:dyDescent="0.3">
      <c r="A994" s="13"/>
      <c r="B994" s="14"/>
      <c r="C994" s="15"/>
      <c r="D994" s="16" t="s">
        <v>820</v>
      </c>
      <c r="E994" s="65">
        <f t="shared" si="60"/>
        <v>5</v>
      </c>
      <c r="F994" s="74" t="s">
        <v>64</v>
      </c>
      <c r="G994" s="19"/>
      <c r="H994" s="20"/>
      <c r="J994" s="133"/>
      <c r="K994" s="138"/>
      <c r="L994" s="133"/>
      <c r="M994" s="139"/>
    </row>
    <row r="995" spans="1:13" s="4" customFormat="1" ht="35.1" customHeight="1" x14ac:dyDescent="0.3">
      <c r="A995" s="13"/>
      <c r="B995" s="14"/>
      <c r="C995" s="15"/>
      <c r="D995" s="16" t="s">
        <v>821</v>
      </c>
      <c r="E995" s="65">
        <f t="shared" si="60"/>
        <v>5</v>
      </c>
      <c r="F995" s="74" t="s">
        <v>64</v>
      </c>
      <c r="G995" s="19"/>
      <c r="H995" s="20"/>
      <c r="J995" s="133"/>
      <c r="K995" s="138"/>
      <c r="L995" s="133"/>
      <c r="M995" s="139"/>
    </row>
    <row r="996" spans="1:13" s="4" customFormat="1" ht="35.1" customHeight="1" x14ac:dyDescent="0.3">
      <c r="A996" s="13"/>
      <c r="B996" s="14"/>
      <c r="C996" s="15"/>
      <c r="D996" s="16" t="s">
        <v>822</v>
      </c>
      <c r="E996" s="65">
        <f t="shared" si="60"/>
        <v>5</v>
      </c>
      <c r="F996" s="74" t="s">
        <v>64</v>
      </c>
      <c r="G996" s="19"/>
      <c r="H996" s="20"/>
      <c r="J996" s="133"/>
      <c r="K996" s="138"/>
      <c r="L996" s="133"/>
      <c r="M996" s="139"/>
    </row>
    <row r="997" spans="1:13" s="4" customFormat="1" ht="35.1" customHeight="1" x14ac:dyDescent="0.3">
      <c r="A997" s="13"/>
      <c r="B997" s="14"/>
      <c r="C997" s="15"/>
      <c r="D997" s="16" t="s">
        <v>823</v>
      </c>
      <c r="E997" s="65">
        <f t="shared" si="60"/>
        <v>5</v>
      </c>
      <c r="F997" s="74" t="s">
        <v>64</v>
      </c>
      <c r="G997" s="19"/>
      <c r="H997" s="20"/>
      <c r="J997" s="133"/>
      <c r="K997" s="138"/>
      <c r="L997" s="133"/>
      <c r="M997" s="139"/>
    </row>
    <row r="998" spans="1:13" s="4" customFormat="1" ht="35.1" customHeight="1" x14ac:dyDescent="0.3">
      <c r="A998" s="13"/>
      <c r="B998" s="14"/>
      <c r="C998" s="15"/>
      <c r="D998" s="16" t="s">
        <v>824</v>
      </c>
      <c r="E998" s="65">
        <f t="shared" si="60"/>
        <v>5</v>
      </c>
      <c r="F998" s="74" t="s">
        <v>64</v>
      </c>
      <c r="G998" s="19"/>
      <c r="H998" s="20"/>
      <c r="J998" s="133"/>
      <c r="K998" s="138"/>
      <c r="L998" s="133"/>
      <c r="M998" s="139"/>
    </row>
    <row r="999" spans="1:13" s="4" customFormat="1" ht="35.1" customHeight="1" x14ac:dyDescent="0.3">
      <c r="A999" s="13"/>
      <c r="B999" s="14"/>
      <c r="C999" s="15"/>
      <c r="D999" s="16" t="s">
        <v>825</v>
      </c>
      <c r="E999" s="65">
        <f t="shared" si="60"/>
        <v>5</v>
      </c>
      <c r="F999" s="74" t="s">
        <v>64</v>
      </c>
      <c r="G999" s="19"/>
      <c r="H999" s="20"/>
      <c r="J999" s="133"/>
      <c r="K999" s="138"/>
      <c r="L999" s="133"/>
      <c r="M999" s="139"/>
    </row>
    <row r="1000" spans="1:13" s="4" customFormat="1" ht="35.1" customHeight="1" x14ac:dyDescent="0.3">
      <c r="A1000" s="13"/>
      <c r="B1000" s="14"/>
      <c r="C1000" s="15"/>
      <c r="D1000" s="16" t="s">
        <v>826</v>
      </c>
      <c r="E1000" s="65">
        <f t="shared" si="60"/>
        <v>5</v>
      </c>
      <c r="F1000" s="74" t="s">
        <v>64</v>
      </c>
      <c r="G1000" s="19"/>
      <c r="H1000" s="20"/>
      <c r="J1000" s="133"/>
      <c r="K1000" s="138"/>
      <c r="L1000" s="133"/>
      <c r="M1000" s="139"/>
    </row>
    <row r="1001" spans="1:13" s="4" customFormat="1" ht="35.1" customHeight="1" x14ac:dyDescent="0.3">
      <c r="A1001" s="13"/>
      <c r="B1001" s="14"/>
      <c r="C1001" s="15"/>
      <c r="D1001" s="243" t="s">
        <v>358</v>
      </c>
      <c r="E1001" s="244">
        <f>SUM(E988:E1000)</f>
        <v>65</v>
      </c>
      <c r="F1001" s="245" t="s">
        <v>64</v>
      </c>
      <c r="G1001" s="19"/>
      <c r="H1001" s="20"/>
      <c r="J1001" s="133"/>
      <c r="K1001" s="138"/>
      <c r="L1001" s="133"/>
      <c r="M1001" s="139"/>
    </row>
    <row r="1002" spans="1:13" s="4" customFormat="1" ht="35.1" customHeight="1" x14ac:dyDescent="0.3">
      <c r="A1002" s="13"/>
      <c r="B1002" s="14"/>
      <c r="C1002" s="15"/>
      <c r="D1002" s="24"/>
      <c r="E1002" s="25"/>
      <c r="F1002" s="26"/>
      <c r="G1002" s="19"/>
      <c r="H1002" s="20"/>
      <c r="J1002" s="133"/>
      <c r="K1002" s="138"/>
      <c r="L1002" s="133"/>
      <c r="M1002" s="139"/>
    </row>
    <row r="1003" spans="1:13" s="4" customFormat="1" ht="35.1" customHeight="1" x14ac:dyDescent="0.3">
      <c r="A1003" s="13"/>
      <c r="B1003" s="14"/>
      <c r="C1003" s="15"/>
      <c r="D1003" s="16" t="s">
        <v>360</v>
      </c>
      <c r="E1003" s="25"/>
      <c r="F1003" s="26"/>
      <c r="G1003" s="19"/>
      <c r="H1003" s="20"/>
      <c r="J1003" s="133"/>
      <c r="K1003" s="138"/>
      <c r="L1003" s="133"/>
      <c r="M1003" s="139"/>
    </row>
    <row r="1004" spans="1:13" s="4" customFormat="1" ht="35.1" customHeight="1" x14ac:dyDescent="0.3">
      <c r="A1004" s="13"/>
      <c r="B1004" s="14"/>
      <c r="C1004" s="15"/>
      <c r="D1004" s="16" t="s">
        <v>827</v>
      </c>
      <c r="E1004" s="65">
        <f>2*3.5</f>
        <v>7</v>
      </c>
      <c r="F1004" s="74" t="s">
        <v>64</v>
      </c>
      <c r="G1004" s="19"/>
      <c r="H1004" s="20"/>
      <c r="J1004" s="133"/>
      <c r="K1004" s="138"/>
      <c r="L1004" s="133"/>
      <c r="M1004" s="139"/>
    </row>
    <row r="1005" spans="1:13" s="4" customFormat="1" ht="35.1" customHeight="1" x14ac:dyDescent="0.3">
      <c r="A1005" s="13"/>
      <c r="B1005" s="14"/>
      <c r="C1005" s="15"/>
      <c r="D1005" s="16" t="s">
        <v>828</v>
      </c>
      <c r="E1005" s="65">
        <f t="shared" ref="E1005:E1017" si="61">2*3.5</f>
        <v>7</v>
      </c>
      <c r="F1005" s="74" t="s">
        <v>64</v>
      </c>
      <c r="G1005" s="19"/>
      <c r="H1005" s="20"/>
      <c r="J1005" s="133"/>
      <c r="K1005" s="138"/>
      <c r="L1005" s="133"/>
      <c r="M1005" s="139"/>
    </row>
    <row r="1006" spans="1:13" s="4" customFormat="1" ht="35.1" customHeight="1" x14ac:dyDescent="0.3">
      <c r="A1006" s="13"/>
      <c r="B1006" s="14"/>
      <c r="C1006" s="15"/>
      <c r="D1006" s="16" t="s">
        <v>829</v>
      </c>
      <c r="E1006" s="65">
        <f t="shared" si="61"/>
        <v>7</v>
      </c>
      <c r="F1006" s="74" t="s">
        <v>64</v>
      </c>
      <c r="G1006" s="19"/>
      <c r="H1006" s="20"/>
      <c r="J1006" s="133"/>
      <c r="K1006" s="138"/>
      <c r="L1006" s="133"/>
      <c r="M1006" s="139"/>
    </row>
    <row r="1007" spans="1:13" s="4" customFormat="1" ht="35.1" customHeight="1" x14ac:dyDescent="0.3">
      <c r="A1007" s="13"/>
      <c r="B1007" s="14"/>
      <c r="C1007" s="15"/>
      <c r="D1007" s="16" t="s">
        <v>830</v>
      </c>
      <c r="E1007" s="65">
        <f t="shared" si="61"/>
        <v>7</v>
      </c>
      <c r="F1007" s="74" t="s">
        <v>64</v>
      </c>
      <c r="G1007" s="19"/>
      <c r="H1007" s="20"/>
      <c r="J1007" s="133"/>
      <c r="K1007" s="138"/>
      <c r="L1007" s="133"/>
      <c r="M1007" s="139"/>
    </row>
    <row r="1008" spans="1:13" s="4" customFormat="1" ht="35.1" customHeight="1" x14ac:dyDescent="0.3">
      <c r="A1008" s="13"/>
      <c r="B1008" s="14"/>
      <c r="C1008" s="15"/>
      <c r="D1008" s="16" t="s">
        <v>831</v>
      </c>
      <c r="E1008" s="65">
        <f t="shared" si="61"/>
        <v>7</v>
      </c>
      <c r="F1008" s="74" t="s">
        <v>64</v>
      </c>
      <c r="G1008" s="19"/>
      <c r="H1008" s="20"/>
      <c r="J1008" s="133"/>
      <c r="K1008" s="138"/>
      <c r="L1008" s="133"/>
      <c r="M1008" s="139"/>
    </row>
    <row r="1009" spans="1:13" s="4" customFormat="1" ht="35.1" customHeight="1" x14ac:dyDescent="0.3">
      <c r="A1009" s="13"/>
      <c r="B1009" s="14"/>
      <c r="C1009" s="15"/>
      <c r="D1009" s="16" t="s">
        <v>832</v>
      </c>
      <c r="E1009" s="65">
        <f t="shared" si="61"/>
        <v>7</v>
      </c>
      <c r="F1009" s="74" t="s">
        <v>64</v>
      </c>
      <c r="G1009" s="19"/>
      <c r="H1009" s="20"/>
      <c r="J1009" s="133"/>
      <c r="K1009" s="138"/>
      <c r="L1009" s="133"/>
      <c r="M1009" s="139"/>
    </row>
    <row r="1010" spans="1:13" s="4" customFormat="1" ht="35.1" customHeight="1" x14ac:dyDescent="0.3">
      <c r="A1010" s="13"/>
      <c r="B1010" s="14"/>
      <c r="C1010" s="15"/>
      <c r="D1010" s="16" t="s">
        <v>833</v>
      </c>
      <c r="E1010" s="65">
        <f t="shared" si="61"/>
        <v>7</v>
      </c>
      <c r="F1010" s="74" t="s">
        <v>64</v>
      </c>
      <c r="G1010" s="19"/>
      <c r="H1010" s="20"/>
      <c r="J1010" s="133"/>
      <c r="K1010" s="138"/>
      <c r="L1010" s="133"/>
      <c r="M1010" s="139"/>
    </row>
    <row r="1011" spans="1:13" s="4" customFormat="1" ht="35.1" customHeight="1" x14ac:dyDescent="0.3">
      <c r="A1011" s="13"/>
      <c r="B1011" s="14"/>
      <c r="C1011" s="15"/>
      <c r="D1011" s="16" t="s">
        <v>834</v>
      </c>
      <c r="E1011" s="65">
        <f t="shared" si="61"/>
        <v>7</v>
      </c>
      <c r="F1011" s="74" t="s">
        <v>64</v>
      </c>
      <c r="G1011" s="19"/>
      <c r="H1011" s="20"/>
      <c r="J1011" s="133"/>
      <c r="K1011" s="138"/>
      <c r="L1011" s="133"/>
      <c r="M1011" s="139"/>
    </row>
    <row r="1012" spans="1:13" s="4" customFormat="1" ht="35.1" customHeight="1" x14ac:dyDescent="0.3">
      <c r="A1012" s="13"/>
      <c r="B1012" s="14"/>
      <c r="C1012" s="15"/>
      <c r="D1012" s="16" t="s">
        <v>835</v>
      </c>
      <c r="E1012" s="65">
        <f t="shared" si="61"/>
        <v>7</v>
      </c>
      <c r="F1012" s="74" t="s">
        <v>64</v>
      </c>
      <c r="G1012" s="19"/>
      <c r="H1012" s="20"/>
      <c r="J1012" s="133"/>
      <c r="K1012" s="138"/>
      <c r="L1012" s="133"/>
      <c r="M1012" s="139"/>
    </row>
    <row r="1013" spans="1:13" s="4" customFormat="1" ht="35.1" customHeight="1" x14ac:dyDescent="0.3">
      <c r="A1013" s="13"/>
      <c r="B1013" s="14"/>
      <c r="C1013" s="15"/>
      <c r="D1013" s="16" t="s">
        <v>836</v>
      </c>
      <c r="E1013" s="65">
        <f t="shared" si="61"/>
        <v>7</v>
      </c>
      <c r="F1013" s="74" t="s">
        <v>64</v>
      </c>
      <c r="G1013" s="19"/>
      <c r="H1013" s="20"/>
      <c r="J1013" s="133"/>
      <c r="K1013" s="138"/>
      <c r="L1013" s="133"/>
      <c r="M1013" s="139"/>
    </row>
    <row r="1014" spans="1:13" s="4" customFormat="1" ht="35.1" customHeight="1" x14ac:dyDescent="0.3">
      <c r="A1014" s="13"/>
      <c r="B1014" s="14"/>
      <c r="C1014" s="15"/>
      <c r="D1014" s="16" t="s">
        <v>837</v>
      </c>
      <c r="E1014" s="65">
        <f t="shared" si="61"/>
        <v>7</v>
      </c>
      <c r="F1014" s="74" t="s">
        <v>64</v>
      </c>
      <c r="G1014" s="19"/>
      <c r="H1014" s="20"/>
      <c r="J1014" s="133"/>
      <c r="K1014" s="138"/>
      <c r="L1014" s="133"/>
      <c r="M1014" s="139"/>
    </row>
    <row r="1015" spans="1:13" s="4" customFormat="1" ht="35.1" customHeight="1" x14ac:dyDescent="0.3">
      <c r="A1015" s="13"/>
      <c r="B1015" s="14"/>
      <c r="C1015" s="15"/>
      <c r="D1015" s="16" t="s">
        <v>838</v>
      </c>
      <c r="E1015" s="65">
        <f t="shared" si="61"/>
        <v>7</v>
      </c>
      <c r="F1015" s="74" t="s">
        <v>64</v>
      </c>
      <c r="G1015" s="19"/>
      <c r="H1015" s="20"/>
      <c r="J1015" s="133"/>
      <c r="K1015" s="138"/>
      <c r="L1015" s="133"/>
      <c r="M1015" s="139"/>
    </row>
    <row r="1016" spans="1:13" s="4" customFormat="1" ht="35.1" customHeight="1" x14ac:dyDescent="0.3">
      <c r="A1016" s="13"/>
      <c r="B1016" s="14"/>
      <c r="C1016" s="15"/>
      <c r="D1016" s="16" t="s">
        <v>839</v>
      </c>
      <c r="E1016" s="65">
        <f t="shared" si="61"/>
        <v>7</v>
      </c>
      <c r="F1016" s="74" t="s">
        <v>64</v>
      </c>
      <c r="G1016" s="19"/>
      <c r="H1016" s="20"/>
      <c r="J1016" s="133"/>
      <c r="K1016" s="138"/>
      <c r="L1016" s="133"/>
      <c r="M1016" s="139"/>
    </row>
    <row r="1017" spans="1:13" s="4" customFormat="1" ht="35.1" customHeight="1" x14ac:dyDescent="0.3">
      <c r="A1017" s="13"/>
      <c r="B1017" s="14"/>
      <c r="C1017" s="15"/>
      <c r="D1017" s="16" t="s">
        <v>840</v>
      </c>
      <c r="E1017" s="65">
        <f t="shared" si="61"/>
        <v>7</v>
      </c>
      <c r="F1017" s="74" t="s">
        <v>64</v>
      </c>
      <c r="G1017" s="19"/>
      <c r="H1017" s="20"/>
      <c r="J1017" s="133"/>
      <c r="K1017" s="138"/>
      <c r="L1017" s="133"/>
      <c r="M1017" s="139"/>
    </row>
    <row r="1018" spans="1:13" s="4" customFormat="1" ht="35.1" customHeight="1" x14ac:dyDescent="0.3">
      <c r="A1018" s="13"/>
      <c r="B1018" s="14"/>
      <c r="C1018" s="15"/>
      <c r="D1018" s="243" t="s">
        <v>361</v>
      </c>
      <c r="E1018" s="244">
        <f>SUM(E1004:E1017)</f>
        <v>98</v>
      </c>
      <c r="F1018" s="245" t="s">
        <v>64</v>
      </c>
      <c r="G1018" s="19"/>
      <c r="H1018" s="20"/>
      <c r="J1018" s="133"/>
      <c r="K1018" s="138"/>
      <c r="L1018" s="133"/>
      <c r="M1018" s="139"/>
    </row>
    <row r="1019" spans="1:13" s="4" customFormat="1" ht="35.1" customHeight="1" x14ac:dyDescent="0.3">
      <c r="A1019" s="13"/>
      <c r="B1019" s="14"/>
      <c r="C1019" s="15"/>
      <c r="D1019" s="243"/>
      <c r="E1019" s="244"/>
      <c r="F1019" s="245"/>
      <c r="G1019" s="19"/>
      <c r="H1019" s="20"/>
      <c r="J1019" s="133"/>
      <c r="K1019" s="138"/>
      <c r="L1019" s="133"/>
      <c r="M1019" s="139"/>
    </row>
    <row r="1020" spans="1:13" s="4" customFormat="1" ht="35.1" customHeight="1" x14ac:dyDescent="0.3">
      <c r="A1020" s="13"/>
      <c r="B1020" s="14"/>
      <c r="C1020" s="15"/>
      <c r="D1020" s="115" t="s">
        <v>368</v>
      </c>
      <c r="E1020" s="116"/>
      <c r="F1020" s="117"/>
      <c r="G1020" s="19"/>
      <c r="H1020" s="20"/>
      <c r="J1020" s="133"/>
      <c r="K1020" s="138"/>
      <c r="L1020" s="133"/>
      <c r="M1020" s="139"/>
    </row>
    <row r="1021" spans="1:13" s="4" customFormat="1" ht="35.1" customHeight="1" x14ac:dyDescent="0.3">
      <c r="A1021" s="13"/>
      <c r="B1021" s="14"/>
      <c r="C1021" s="15"/>
      <c r="D1021" s="115" t="s">
        <v>841</v>
      </c>
      <c r="E1021" s="116">
        <f>2*2*6</f>
        <v>24</v>
      </c>
      <c r="F1021" s="117" t="s">
        <v>64</v>
      </c>
      <c r="G1021" s="19"/>
      <c r="H1021" s="20"/>
      <c r="J1021" s="133"/>
      <c r="K1021" s="138"/>
      <c r="L1021" s="133"/>
      <c r="M1021" s="139"/>
    </row>
    <row r="1022" spans="1:13" s="4" customFormat="1" ht="35.1" customHeight="1" x14ac:dyDescent="0.3">
      <c r="A1022" s="13"/>
      <c r="B1022" s="14"/>
      <c r="C1022" s="15"/>
      <c r="D1022" s="243" t="s">
        <v>369</v>
      </c>
      <c r="E1022" s="244">
        <f>SUM(E1021)</f>
        <v>24</v>
      </c>
      <c r="F1022" s="245" t="s">
        <v>64</v>
      </c>
      <c r="G1022" s="19"/>
      <c r="H1022" s="20"/>
      <c r="J1022" s="133"/>
      <c r="K1022" s="138"/>
      <c r="L1022" s="133"/>
      <c r="M1022" s="139"/>
    </row>
    <row r="1023" spans="1:13" s="4" customFormat="1" ht="35.1" customHeight="1" x14ac:dyDescent="0.3">
      <c r="A1023" s="13"/>
      <c r="B1023" s="14"/>
      <c r="C1023" s="15"/>
      <c r="D1023" s="243" t="s">
        <v>362</v>
      </c>
      <c r="E1023" s="244">
        <f>E985+E1001+E1018+E1022</f>
        <v>297</v>
      </c>
      <c r="F1023" s="245" t="s">
        <v>64</v>
      </c>
      <c r="G1023" s="19"/>
      <c r="H1023" s="20"/>
      <c r="J1023" s="133"/>
      <c r="K1023" s="138"/>
      <c r="L1023" s="133"/>
      <c r="M1023" s="139"/>
    </row>
    <row r="1024" spans="1:13" s="4" customFormat="1" ht="35.1" customHeight="1" x14ac:dyDescent="0.3">
      <c r="A1024" s="13"/>
      <c r="B1024" s="14"/>
      <c r="C1024" s="15"/>
      <c r="D1024" s="243"/>
      <c r="E1024" s="244"/>
      <c r="F1024" s="245"/>
      <c r="G1024" s="19"/>
      <c r="H1024" s="20"/>
      <c r="J1024" s="133"/>
      <c r="K1024" s="138"/>
      <c r="L1024" s="133"/>
      <c r="M1024" s="139"/>
    </row>
    <row r="1025" spans="1:13" s="4" customFormat="1" ht="35.1" customHeight="1" x14ac:dyDescent="0.3">
      <c r="A1025" s="13"/>
      <c r="B1025" s="14"/>
      <c r="C1025" s="15"/>
      <c r="D1025" s="115" t="s">
        <v>406</v>
      </c>
      <c r="E1025" s="116"/>
      <c r="F1025" s="117"/>
      <c r="G1025" s="19"/>
      <c r="H1025" s="20"/>
      <c r="J1025" s="133"/>
      <c r="K1025" s="138"/>
      <c r="L1025" s="133"/>
      <c r="M1025" s="139"/>
    </row>
    <row r="1026" spans="1:13" s="4" customFormat="1" ht="35.1" customHeight="1" x14ac:dyDescent="0.3">
      <c r="A1026" s="13"/>
      <c r="B1026" s="14"/>
      <c r="C1026" s="15"/>
      <c r="D1026" s="115" t="s">
        <v>842</v>
      </c>
      <c r="E1026" s="116">
        <f>2*(116-6)</f>
        <v>220</v>
      </c>
      <c r="F1026" s="117" t="s">
        <v>64</v>
      </c>
      <c r="G1026" s="19"/>
      <c r="H1026" s="20"/>
      <c r="J1026" s="133"/>
      <c r="K1026" s="138"/>
      <c r="L1026" s="133"/>
      <c r="M1026" s="139"/>
    </row>
    <row r="1027" spans="1:13" s="4" customFormat="1" ht="35.1" customHeight="1" x14ac:dyDescent="0.3">
      <c r="A1027" s="13"/>
      <c r="B1027" s="14"/>
      <c r="C1027" s="15"/>
      <c r="D1027" s="246" t="s">
        <v>844</v>
      </c>
      <c r="E1027" s="247">
        <f>SUM(E1026)/2</f>
        <v>110</v>
      </c>
      <c r="F1027" s="248" t="s">
        <v>64</v>
      </c>
      <c r="G1027" s="19"/>
      <c r="H1027" s="20"/>
      <c r="J1027" s="133"/>
      <c r="K1027" s="138"/>
      <c r="L1027" s="133"/>
      <c r="M1027" s="139"/>
    </row>
    <row r="1028" spans="1:13" s="4" customFormat="1" ht="35.1" customHeight="1" x14ac:dyDescent="0.3">
      <c r="A1028" s="13"/>
      <c r="B1028" s="14"/>
      <c r="C1028" s="15"/>
      <c r="D1028" s="243"/>
      <c r="E1028" s="244"/>
      <c r="F1028" s="245"/>
      <c r="G1028" s="19"/>
      <c r="H1028" s="20"/>
      <c r="J1028" s="133"/>
      <c r="K1028" s="138"/>
      <c r="L1028" s="133"/>
      <c r="M1028" s="139"/>
    </row>
    <row r="1029" spans="1:13" s="4" customFormat="1" ht="35.1" customHeight="1" x14ac:dyDescent="0.3">
      <c r="A1029" s="13"/>
      <c r="B1029" s="14"/>
      <c r="C1029" s="15"/>
      <c r="D1029" s="16" t="s">
        <v>363</v>
      </c>
      <c r="E1029" s="244"/>
      <c r="F1029" s="245"/>
      <c r="G1029" s="19"/>
      <c r="H1029" s="20"/>
      <c r="J1029" s="133"/>
      <c r="K1029" s="138"/>
      <c r="L1029" s="133"/>
      <c r="M1029" s="139"/>
    </row>
    <row r="1030" spans="1:13" s="4" customFormat="1" ht="35.1" customHeight="1" x14ac:dyDescent="0.3">
      <c r="A1030" s="13"/>
      <c r="B1030" s="14"/>
      <c r="C1030" s="15"/>
      <c r="D1030" s="16" t="s">
        <v>357</v>
      </c>
      <c r="E1030" s="65"/>
      <c r="F1030" s="74"/>
      <c r="G1030" s="19"/>
      <c r="H1030" s="20"/>
      <c r="J1030" s="133"/>
      <c r="K1030" s="138"/>
      <c r="L1030" s="133"/>
      <c r="M1030" s="139"/>
    </row>
    <row r="1031" spans="1:13" s="4" customFormat="1" ht="35.1" customHeight="1" x14ac:dyDescent="0.3">
      <c r="A1031" s="13"/>
      <c r="B1031" s="14"/>
      <c r="C1031" s="15"/>
      <c r="D1031" s="16" t="s">
        <v>408</v>
      </c>
      <c r="E1031" s="65"/>
      <c r="F1031" s="74"/>
      <c r="G1031" s="19"/>
      <c r="H1031" s="20"/>
      <c r="J1031" s="133"/>
      <c r="K1031" s="138"/>
      <c r="L1031" s="133"/>
      <c r="M1031" s="139"/>
    </row>
    <row r="1032" spans="1:13" s="4" customFormat="1" ht="35.1" customHeight="1" x14ac:dyDescent="0.3">
      <c r="A1032" s="13"/>
      <c r="B1032" s="14"/>
      <c r="C1032" s="15"/>
      <c r="D1032" s="16" t="s">
        <v>845</v>
      </c>
      <c r="E1032" s="65">
        <f>2*2.5</f>
        <v>5</v>
      </c>
      <c r="F1032" s="74" t="s">
        <v>64</v>
      </c>
      <c r="G1032" s="19"/>
      <c r="H1032" s="20"/>
      <c r="J1032" s="133"/>
      <c r="K1032" s="138"/>
      <c r="L1032" s="133"/>
      <c r="M1032" s="139"/>
    </row>
    <row r="1033" spans="1:13" s="4" customFormat="1" ht="35.1" customHeight="1" x14ac:dyDescent="0.3">
      <c r="A1033" s="13"/>
      <c r="B1033" s="14"/>
      <c r="C1033" s="15"/>
      <c r="D1033" s="16" t="s">
        <v>846</v>
      </c>
      <c r="E1033" s="65">
        <f t="shared" ref="E1033:E1039" si="62">2*2.5</f>
        <v>5</v>
      </c>
      <c r="F1033" s="74" t="s">
        <v>64</v>
      </c>
      <c r="G1033" s="19"/>
      <c r="H1033" s="20"/>
      <c r="J1033" s="133"/>
      <c r="K1033" s="138"/>
      <c r="L1033" s="133"/>
      <c r="M1033" s="139"/>
    </row>
    <row r="1034" spans="1:13" s="4" customFormat="1" ht="35.1" customHeight="1" x14ac:dyDescent="0.3">
      <c r="A1034" s="13"/>
      <c r="B1034" s="14"/>
      <c r="C1034" s="15"/>
      <c r="D1034" s="16" t="s">
        <v>847</v>
      </c>
      <c r="E1034" s="65">
        <f t="shared" si="62"/>
        <v>5</v>
      </c>
      <c r="F1034" s="74" t="s">
        <v>64</v>
      </c>
      <c r="G1034" s="19"/>
      <c r="H1034" s="20"/>
      <c r="J1034" s="133"/>
      <c r="K1034" s="138"/>
      <c r="L1034" s="133"/>
      <c r="M1034" s="139"/>
    </row>
    <row r="1035" spans="1:13" s="4" customFormat="1" ht="35.1" customHeight="1" x14ac:dyDescent="0.3">
      <c r="A1035" s="13"/>
      <c r="B1035" s="14"/>
      <c r="C1035" s="15"/>
      <c r="D1035" s="16" t="s">
        <v>848</v>
      </c>
      <c r="E1035" s="65">
        <f t="shared" si="62"/>
        <v>5</v>
      </c>
      <c r="F1035" s="74" t="s">
        <v>64</v>
      </c>
      <c r="G1035" s="19"/>
      <c r="H1035" s="20"/>
      <c r="J1035" s="133"/>
      <c r="K1035" s="138"/>
      <c r="L1035" s="133"/>
      <c r="M1035" s="139"/>
    </row>
    <row r="1036" spans="1:13" s="4" customFormat="1" ht="35.1" customHeight="1" x14ac:dyDescent="0.3">
      <c r="A1036" s="13"/>
      <c r="B1036" s="14"/>
      <c r="C1036" s="15"/>
      <c r="D1036" s="16" t="s">
        <v>849</v>
      </c>
      <c r="E1036" s="65">
        <f t="shared" si="62"/>
        <v>5</v>
      </c>
      <c r="F1036" s="74" t="s">
        <v>64</v>
      </c>
      <c r="G1036" s="19"/>
      <c r="H1036" s="20"/>
      <c r="J1036" s="133"/>
      <c r="K1036" s="138"/>
      <c r="L1036" s="133"/>
      <c r="M1036" s="139"/>
    </row>
    <row r="1037" spans="1:13" s="4" customFormat="1" ht="35.1" customHeight="1" x14ac:dyDescent="0.3">
      <c r="A1037" s="13"/>
      <c r="B1037" s="14"/>
      <c r="C1037" s="15"/>
      <c r="D1037" s="16" t="s">
        <v>850</v>
      </c>
      <c r="E1037" s="65">
        <f t="shared" si="62"/>
        <v>5</v>
      </c>
      <c r="F1037" s="74" t="s">
        <v>64</v>
      </c>
      <c r="G1037" s="19"/>
      <c r="H1037" s="20"/>
      <c r="J1037" s="133"/>
      <c r="K1037" s="138"/>
      <c r="L1037" s="133"/>
      <c r="M1037" s="139"/>
    </row>
    <row r="1038" spans="1:13" s="4" customFormat="1" ht="35.1" customHeight="1" x14ac:dyDescent="0.3">
      <c r="A1038" s="13"/>
      <c r="B1038" s="14"/>
      <c r="C1038" s="15"/>
      <c r="D1038" s="16" t="s">
        <v>851</v>
      </c>
      <c r="E1038" s="65">
        <f t="shared" si="62"/>
        <v>5</v>
      </c>
      <c r="F1038" s="74" t="s">
        <v>64</v>
      </c>
      <c r="G1038" s="19"/>
      <c r="H1038" s="20"/>
      <c r="J1038" s="133"/>
      <c r="K1038" s="138"/>
      <c r="L1038" s="133"/>
      <c r="M1038" s="139"/>
    </row>
    <row r="1039" spans="1:13" s="4" customFormat="1" ht="35.1" customHeight="1" x14ac:dyDescent="0.3">
      <c r="A1039" s="13"/>
      <c r="B1039" s="14"/>
      <c r="C1039" s="15"/>
      <c r="D1039" s="16" t="s">
        <v>852</v>
      </c>
      <c r="E1039" s="65">
        <f t="shared" si="62"/>
        <v>5</v>
      </c>
      <c r="F1039" s="74" t="s">
        <v>64</v>
      </c>
      <c r="G1039" s="19"/>
      <c r="H1039" s="20"/>
      <c r="J1039" s="133"/>
      <c r="K1039" s="138"/>
      <c r="L1039" s="133"/>
      <c r="M1039" s="139"/>
    </row>
    <row r="1040" spans="1:13" s="4" customFormat="1" ht="35.1" customHeight="1" x14ac:dyDescent="0.3">
      <c r="A1040" s="13"/>
      <c r="B1040" s="14"/>
      <c r="C1040" s="15"/>
      <c r="D1040" s="243" t="s">
        <v>364</v>
      </c>
      <c r="E1040" s="244">
        <f>SUM(E1032:E1039)</f>
        <v>40</v>
      </c>
      <c r="F1040" s="245" t="s">
        <v>64</v>
      </c>
      <c r="G1040" s="19"/>
      <c r="H1040" s="20"/>
      <c r="J1040" s="133"/>
      <c r="K1040" s="138"/>
      <c r="L1040" s="133"/>
      <c r="M1040" s="139"/>
    </row>
    <row r="1041" spans="1:13" s="4" customFormat="1" ht="35.1" customHeight="1" x14ac:dyDescent="0.3">
      <c r="A1041" s="13"/>
      <c r="B1041" s="14"/>
      <c r="C1041" s="15"/>
      <c r="D1041" s="243"/>
      <c r="E1041" s="244"/>
      <c r="F1041" s="245"/>
      <c r="G1041" s="19"/>
      <c r="H1041" s="20"/>
      <c r="J1041" s="133"/>
      <c r="K1041" s="138"/>
      <c r="L1041" s="133"/>
      <c r="M1041" s="139"/>
    </row>
    <row r="1042" spans="1:13" s="4" customFormat="1" ht="35.1" customHeight="1" x14ac:dyDescent="0.3">
      <c r="A1042" s="13"/>
      <c r="B1042" s="14"/>
      <c r="C1042" s="15"/>
      <c r="D1042" s="16" t="s">
        <v>360</v>
      </c>
      <c r="E1042" s="25"/>
      <c r="F1042" s="26"/>
      <c r="G1042" s="19"/>
      <c r="H1042" s="20"/>
      <c r="J1042" s="133"/>
      <c r="K1042" s="138"/>
      <c r="L1042" s="133"/>
      <c r="M1042" s="139"/>
    </row>
    <row r="1043" spans="1:13" s="4" customFormat="1" ht="35.1" customHeight="1" x14ac:dyDescent="0.3">
      <c r="A1043" s="13"/>
      <c r="B1043" s="14"/>
      <c r="C1043" s="15"/>
      <c r="D1043" s="16" t="s">
        <v>417</v>
      </c>
      <c r="E1043" s="65">
        <f>1*3.5*0</f>
        <v>0</v>
      </c>
      <c r="F1043" s="74" t="s">
        <v>64</v>
      </c>
      <c r="G1043" s="19"/>
      <c r="H1043" s="20"/>
      <c r="J1043" s="133"/>
      <c r="K1043" s="138"/>
      <c r="L1043" s="133"/>
      <c r="M1043" s="139"/>
    </row>
    <row r="1044" spans="1:13" s="4" customFormat="1" ht="35.1" customHeight="1" x14ac:dyDescent="0.3">
      <c r="A1044" s="13"/>
      <c r="B1044" s="14"/>
      <c r="C1044" s="15"/>
      <c r="D1044" s="16" t="s">
        <v>853</v>
      </c>
      <c r="E1044" s="65">
        <f>2*3.5</f>
        <v>7</v>
      </c>
      <c r="F1044" s="74" t="s">
        <v>64</v>
      </c>
      <c r="G1044" s="19"/>
      <c r="H1044" s="20"/>
      <c r="J1044" s="133"/>
      <c r="K1044" s="138"/>
      <c r="L1044" s="133"/>
      <c r="M1044" s="139"/>
    </row>
    <row r="1045" spans="1:13" s="4" customFormat="1" ht="35.1" customHeight="1" x14ac:dyDescent="0.3">
      <c r="A1045" s="13"/>
      <c r="B1045" s="14"/>
      <c r="C1045" s="15"/>
      <c r="D1045" s="16" t="s">
        <v>854</v>
      </c>
      <c r="E1045" s="65">
        <f t="shared" ref="E1045:E1051" si="63">1*3.5</f>
        <v>3.5</v>
      </c>
      <c r="F1045" s="74" t="s">
        <v>64</v>
      </c>
      <c r="G1045" s="19"/>
      <c r="H1045" s="20"/>
      <c r="J1045" s="133"/>
      <c r="K1045" s="138"/>
      <c r="L1045" s="133"/>
      <c r="M1045" s="139"/>
    </row>
    <row r="1046" spans="1:13" s="4" customFormat="1" ht="35.1" customHeight="1" x14ac:dyDescent="0.3">
      <c r="A1046" s="13"/>
      <c r="B1046" s="14"/>
      <c r="C1046" s="15"/>
      <c r="D1046" s="16" t="s">
        <v>855</v>
      </c>
      <c r="E1046" s="65">
        <f t="shared" si="63"/>
        <v>3.5</v>
      </c>
      <c r="F1046" s="74" t="s">
        <v>64</v>
      </c>
      <c r="G1046" s="19"/>
      <c r="H1046" s="20"/>
      <c r="J1046" s="133"/>
      <c r="K1046" s="138"/>
      <c r="L1046" s="133"/>
      <c r="M1046" s="139"/>
    </row>
    <row r="1047" spans="1:13" s="4" customFormat="1" ht="35.1" customHeight="1" x14ac:dyDescent="0.3">
      <c r="A1047" s="13"/>
      <c r="B1047" s="14"/>
      <c r="C1047" s="15"/>
      <c r="D1047" s="16" t="s">
        <v>856</v>
      </c>
      <c r="E1047" s="65">
        <f t="shared" si="63"/>
        <v>3.5</v>
      </c>
      <c r="F1047" s="74" t="s">
        <v>64</v>
      </c>
      <c r="G1047" s="19"/>
      <c r="H1047" s="20"/>
      <c r="J1047" s="133"/>
      <c r="K1047" s="138"/>
      <c r="L1047" s="133"/>
      <c r="M1047" s="139"/>
    </row>
    <row r="1048" spans="1:13" s="4" customFormat="1" ht="35.1" customHeight="1" x14ac:dyDescent="0.3">
      <c r="A1048" s="13"/>
      <c r="B1048" s="14"/>
      <c r="C1048" s="15"/>
      <c r="D1048" s="16" t="s">
        <v>857</v>
      </c>
      <c r="E1048" s="65">
        <f t="shared" si="63"/>
        <v>3.5</v>
      </c>
      <c r="F1048" s="74" t="s">
        <v>64</v>
      </c>
      <c r="G1048" s="19"/>
      <c r="H1048" s="20"/>
      <c r="J1048" s="133"/>
      <c r="K1048" s="138"/>
      <c r="L1048" s="133"/>
      <c r="M1048" s="139"/>
    </row>
    <row r="1049" spans="1:13" s="4" customFormat="1" ht="35.1" customHeight="1" x14ac:dyDescent="0.3">
      <c r="A1049" s="13"/>
      <c r="B1049" s="14"/>
      <c r="C1049" s="15"/>
      <c r="D1049" s="16" t="s">
        <v>858</v>
      </c>
      <c r="E1049" s="65">
        <f t="shared" si="63"/>
        <v>3.5</v>
      </c>
      <c r="F1049" s="74" t="s">
        <v>64</v>
      </c>
      <c r="G1049" s="19"/>
      <c r="H1049" s="20"/>
      <c r="J1049" s="133"/>
      <c r="K1049" s="138"/>
      <c r="L1049" s="133"/>
      <c r="M1049" s="139"/>
    </row>
    <row r="1050" spans="1:13" s="4" customFormat="1" ht="35.1" customHeight="1" x14ac:dyDescent="0.3">
      <c r="A1050" s="13"/>
      <c r="B1050" s="14"/>
      <c r="C1050" s="15"/>
      <c r="D1050" s="16" t="s">
        <v>859</v>
      </c>
      <c r="E1050" s="65">
        <f t="shared" si="63"/>
        <v>3.5</v>
      </c>
      <c r="F1050" s="74" t="s">
        <v>64</v>
      </c>
      <c r="G1050" s="19"/>
      <c r="H1050" s="20"/>
      <c r="J1050" s="133"/>
      <c r="K1050" s="138"/>
      <c r="L1050" s="133"/>
      <c r="M1050" s="139"/>
    </row>
    <row r="1051" spans="1:13" s="4" customFormat="1" ht="35.1" customHeight="1" x14ac:dyDescent="0.3">
      <c r="A1051" s="13"/>
      <c r="B1051" s="14"/>
      <c r="C1051" s="15"/>
      <c r="D1051" s="16" t="s">
        <v>860</v>
      </c>
      <c r="E1051" s="65">
        <f t="shared" si="63"/>
        <v>3.5</v>
      </c>
      <c r="F1051" s="74" t="s">
        <v>64</v>
      </c>
      <c r="G1051" s="19"/>
      <c r="H1051" s="20"/>
      <c r="J1051" s="133"/>
      <c r="K1051" s="138"/>
      <c r="L1051" s="133"/>
      <c r="M1051" s="139"/>
    </row>
    <row r="1052" spans="1:13" s="4" customFormat="1" ht="35.1" customHeight="1" x14ac:dyDescent="0.3">
      <c r="A1052" s="13"/>
      <c r="B1052" s="14"/>
      <c r="C1052" s="15"/>
      <c r="D1052" s="16" t="s">
        <v>426</v>
      </c>
      <c r="E1052" s="65">
        <f>1*3.5*0</f>
        <v>0</v>
      </c>
      <c r="F1052" s="74" t="s">
        <v>64</v>
      </c>
      <c r="G1052" s="19"/>
      <c r="H1052" s="20"/>
      <c r="J1052" s="133"/>
      <c r="K1052" s="138"/>
      <c r="L1052" s="133"/>
      <c r="M1052" s="139"/>
    </row>
    <row r="1053" spans="1:13" s="4" customFormat="1" ht="35.1" customHeight="1" x14ac:dyDescent="0.3">
      <c r="A1053" s="13"/>
      <c r="B1053" s="14"/>
      <c r="C1053" s="15"/>
      <c r="D1053" s="243" t="s">
        <v>365</v>
      </c>
      <c r="E1053" s="244">
        <f>SUM(E1043:E1052)</f>
        <v>31.5</v>
      </c>
      <c r="F1053" s="245" t="s">
        <v>64</v>
      </c>
      <c r="G1053" s="19"/>
      <c r="H1053" s="20"/>
      <c r="J1053" s="133"/>
      <c r="K1053" s="138"/>
      <c r="L1053" s="133"/>
      <c r="M1053" s="139"/>
    </row>
    <row r="1054" spans="1:13" s="4" customFormat="1" ht="35.1" customHeight="1" x14ac:dyDescent="0.3">
      <c r="A1054" s="13"/>
      <c r="B1054" s="14"/>
      <c r="C1054" s="15"/>
      <c r="D1054" s="243" t="s">
        <v>366</v>
      </c>
      <c r="E1054" s="244">
        <f>E1027+E1040+E1053</f>
        <v>181.5</v>
      </c>
      <c r="F1054" s="245" t="s">
        <v>64</v>
      </c>
      <c r="G1054" s="19"/>
      <c r="H1054" s="20"/>
      <c r="J1054" s="133"/>
      <c r="K1054" s="138"/>
      <c r="L1054" s="133"/>
      <c r="M1054" s="139"/>
    </row>
    <row r="1055" spans="1:13" s="4" customFormat="1" ht="35.1" customHeight="1" x14ac:dyDescent="0.3">
      <c r="A1055" s="13"/>
      <c r="B1055" s="14"/>
      <c r="C1055" s="15"/>
      <c r="D1055" s="243"/>
      <c r="E1055" s="244"/>
      <c r="F1055" s="245"/>
      <c r="G1055" s="19"/>
      <c r="H1055" s="20"/>
      <c r="J1055" s="133"/>
      <c r="K1055" s="138"/>
      <c r="L1055" s="133"/>
      <c r="M1055" s="139"/>
    </row>
    <row r="1056" spans="1:13" s="4" customFormat="1" ht="35.1" customHeight="1" x14ac:dyDescent="0.3">
      <c r="A1056" s="13"/>
      <c r="B1056" s="14"/>
      <c r="C1056" s="15"/>
      <c r="D1056" s="115" t="s">
        <v>372</v>
      </c>
      <c r="E1056" s="116"/>
      <c r="F1056" s="117"/>
      <c r="G1056" s="19"/>
      <c r="H1056" s="20"/>
      <c r="J1056" s="133"/>
      <c r="K1056" s="138"/>
      <c r="L1056" s="133"/>
      <c r="M1056" s="139"/>
    </row>
    <row r="1057" spans="1:13" s="4" customFormat="1" ht="35.1" customHeight="1" x14ac:dyDescent="0.3">
      <c r="A1057" s="13"/>
      <c r="B1057" s="14"/>
      <c r="C1057" s="15"/>
      <c r="D1057" s="115" t="s">
        <v>861</v>
      </c>
      <c r="E1057" s="116">
        <f>2*4*2</f>
        <v>16</v>
      </c>
      <c r="F1057" s="117" t="s">
        <v>64</v>
      </c>
      <c r="G1057" s="19"/>
      <c r="H1057" s="20"/>
      <c r="J1057" s="133"/>
      <c r="K1057" s="138"/>
      <c r="L1057" s="133"/>
      <c r="M1057" s="139"/>
    </row>
    <row r="1058" spans="1:13" s="4" customFormat="1" ht="35.1" customHeight="1" x14ac:dyDescent="0.3">
      <c r="A1058" s="13"/>
      <c r="B1058" s="14"/>
      <c r="C1058" s="15"/>
      <c r="D1058" s="115" t="s">
        <v>862</v>
      </c>
      <c r="E1058" s="116">
        <f>2*1</f>
        <v>2</v>
      </c>
      <c r="F1058" s="117" t="s">
        <v>64</v>
      </c>
      <c r="G1058" s="19"/>
      <c r="H1058" s="20"/>
      <c r="J1058" s="133"/>
      <c r="K1058" s="138"/>
      <c r="L1058" s="133"/>
      <c r="M1058" s="139"/>
    </row>
    <row r="1059" spans="1:13" s="4" customFormat="1" ht="35.1" customHeight="1" x14ac:dyDescent="0.3">
      <c r="A1059" s="13"/>
      <c r="B1059" s="14"/>
      <c r="C1059" s="15"/>
      <c r="D1059" s="243" t="s">
        <v>204</v>
      </c>
      <c r="E1059" s="244">
        <f>SUM(E1057:E1058)</f>
        <v>18</v>
      </c>
      <c r="F1059" s="245" t="s">
        <v>64</v>
      </c>
      <c r="G1059" s="19"/>
      <c r="H1059" s="20"/>
      <c r="J1059" s="133"/>
      <c r="K1059" s="138"/>
      <c r="L1059" s="133"/>
      <c r="M1059" s="139"/>
    </row>
    <row r="1060" spans="1:13" s="4" customFormat="1" ht="35.1" customHeight="1" x14ac:dyDescent="0.3">
      <c r="A1060" s="13"/>
      <c r="B1060" s="14"/>
      <c r="C1060" s="15"/>
      <c r="D1060" s="249" t="s">
        <v>18</v>
      </c>
      <c r="E1060" s="250">
        <f>E1023+E1054+E1059</f>
        <v>496.5</v>
      </c>
      <c r="F1060" s="251" t="s">
        <v>64</v>
      </c>
      <c r="G1060" s="19"/>
      <c r="H1060" s="20"/>
      <c r="J1060" s="133"/>
      <c r="K1060" s="138"/>
      <c r="L1060" s="133"/>
      <c r="M1060" s="139"/>
    </row>
    <row r="1061" spans="1:13" s="29" customFormat="1" ht="35.1" customHeight="1" x14ac:dyDescent="0.3">
      <c r="A1061" s="21"/>
      <c r="B1061" s="22"/>
      <c r="C1061" s="23"/>
      <c r="D1061" s="24"/>
      <c r="E1061" s="25"/>
      <c r="F1061" s="26"/>
      <c r="G1061" s="27"/>
      <c r="H1061" s="20"/>
      <c r="J1061" s="134"/>
      <c r="K1061" s="138"/>
      <c r="L1061" s="134"/>
      <c r="M1061" s="156"/>
    </row>
    <row r="1062" spans="1:13" s="4" customFormat="1" ht="35.1" customHeight="1" x14ac:dyDescent="0.3">
      <c r="A1062" s="13">
        <v>127</v>
      </c>
      <c r="B1062" s="14" t="s">
        <v>12</v>
      </c>
      <c r="C1062" s="15" t="s">
        <v>108</v>
      </c>
      <c r="D1062" s="16" t="s">
        <v>109</v>
      </c>
      <c r="E1062" s="17">
        <f>E16</f>
        <v>348.5</v>
      </c>
      <c r="F1062" s="18" t="s">
        <v>13</v>
      </c>
      <c r="G1062" s="19"/>
      <c r="H1062" s="20">
        <f t="shared" si="59"/>
        <v>0</v>
      </c>
      <c r="J1062" s="133"/>
      <c r="K1062" s="138"/>
      <c r="L1062" s="133">
        <v>0.02</v>
      </c>
      <c r="M1062" s="139"/>
    </row>
    <row r="1063" spans="1:13" s="29" customFormat="1" ht="35.1" customHeight="1" x14ac:dyDescent="0.3">
      <c r="A1063" s="21"/>
      <c r="B1063" s="22"/>
      <c r="C1063" s="23"/>
      <c r="D1063" s="24"/>
      <c r="E1063" s="25"/>
      <c r="F1063" s="26"/>
      <c r="G1063" s="27"/>
      <c r="H1063" s="20"/>
      <c r="J1063" s="134"/>
      <c r="K1063" s="138"/>
      <c r="L1063" s="134"/>
      <c r="M1063" s="142"/>
    </row>
    <row r="1064" spans="1:13" s="4" customFormat="1" ht="35.1" customHeight="1" x14ac:dyDescent="0.3">
      <c r="A1064" s="13">
        <v>128</v>
      </c>
      <c r="B1064" s="14" t="s">
        <v>12</v>
      </c>
      <c r="C1064" s="15" t="s">
        <v>110</v>
      </c>
      <c r="D1064" s="16" t="s">
        <v>111</v>
      </c>
      <c r="E1064" s="17">
        <f>E1062*2</f>
        <v>697</v>
      </c>
      <c r="F1064" s="18" t="s">
        <v>13</v>
      </c>
      <c r="G1064" s="19"/>
      <c r="H1064" s="20">
        <f t="shared" si="59"/>
        <v>0</v>
      </c>
      <c r="J1064" s="133"/>
      <c r="K1064" s="138"/>
      <c r="L1064" s="133">
        <v>0.02</v>
      </c>
      <c r="M1064" s="139"/>
    </row>
    <row r="1065" spans="1:13" s="29" customFormat="1" ht="35.1" customHeight="1" x14ac:dyDescent="0.3">
      <c r="A1065" s="21"/>
      <c r="B1065" s="22"/>
      <c r="C1065" s="23"/>
      <c r="D1065" s="24"/>
      <c r="E1065" s="25"/>
      <c r="F1065" s="26"/>
      <c r="G1065" s="27"/>
      <c r="H1065" s="20"/>
      <c r="J1065" s="134"/>
      <c r="K1065" s="138"/>
      <c r="L1065" s="134"/>
      <c r="M1065" s="142"/>
    </row>
    <row r="1066" spans="1:13" s="4" customFormat="1" ht="35.1" customHeight="1" x14ac:dyDescent="0.3">
      <c r="A1066" s="13">
        <v>129</v>
      </c>
      <c r="B1066" s="14" t="s">
        <v>12</v>
      </c>
      <c r="C1066" s="186" t="s">
        <v>908</v>
      </c>
      <c r="D1066" s="16" t="s">
        <v>113</v>
      </c>
      <c r="E1066" s="17">
        <v>1</v>
      </c>
      <c r="F1066" s="18" t="s">
        <v>114</v>
      </c>
      <c r="G1066" s="19"/>
      <c r="H1066" s="20">
        <f t="shared" si="59"/>
        <v>0</v>
      </c>
      <c r="J1066" s="133"/>
      <c r="K1066" s="138"/>
      <c r="L1066" s="133"/>
      <c r="M1066" s="139"/>
    </row>
    <row r="1067" spans="1:13" s="29" customFormat="1" ht="35.1" customHeight="1" x14ac:dyDescent="0.3">
      <c r="A1067" s="21"/>
      <c r="B1067" s="22"/>
      <c r="C1067" s="182"/>
      <c r="D1067" s="24"/>
      <c r="E1067" s="25"/>
      <c r="F1067" s="26"/>
      <c r="G1067" s="27"/>
      <c r="H1067" s="20"/>
      <c r="J1067" s="134"/>
      <c r="K1067" s="138"/>
      <c r="L1067" s="134"/>
      <c r="M1067" s="142"/>
    </row>
    <row r="1068" spans="1:13" s="4" customFormat="1" ht="35.1" customHeight="1" x14ac:dyDescent="0.3">
      <c r="A1068" s="13">
        <v>130</v>
      </c>
      <c r="B1068" s="14" t="s">
        <v>12</v>
      </c>
      <c r="C1068" s="186" t="s">
        <v>909</v>
      </c>
      <c r="D1068" s="16" t="s">
        <v>171</v>
      </c>
      <c r="E1068" s="17">
        <v>1</v>
      </c>
      <c r="F1068" s="18" t="s">
        <v>114</v>
      </c>
      <c r="G1068" s="19"/>
      <c r="H1068" s="20">
        <f t="shared" si="59"/>
        <v>0</v>
      </c>
      <c r="J1068" s="133"/>
      <c r="K1068" s="138"/>
      <c r="L1068" s="133"/>
      <c r="M1068" s="139"/>
    </row>
    <row r="1069" spans="1:13" s="29" customFormat="1" ht="35.1" customHeight="1" x14ac:dyDescent="0.3">
      <c r="A1069" s="21"/>
      <c r="B1069" s="22"/>
      <c r="C1069" s="182"/>
      <c r="D1069" s="24"/>
      <c r="E1069" s="25"/>
      <c r="F1069" s="26"/>
      <c r="G1069" s="27"/>
      <c r="H1069" s="20"/>
      <c r="J1069" s="134"/>
      <c r="K1069" s="138"/>
      <c r="L1069" s="134"/>
      <c r="M1069" s="142"/>
    </row>
    <row r="1070" spans="1:13" s="4" customFormat="1" ht="35.1" customHeight="1" x14ac:dyDescent="0.3">
      <c r="A1070" s="13">
        <v>131</v>
      </c>
      <c r="B1070" s="14" t="s">
        <v>12</v>
      </c>
      <c r="C1070" s="186" t="s">
        <v>910</v>
      </c>
      <c r="D1070" s="16" t="s">
        <v>893</v>
      </c>
      <c r="E1070" s="17">
        <v>1</v>
      </c>
      <c r="F1070" s="18" t="s">
        <v>114</v>
      </c>
      <c r="G1070" s="19"/>
      <c r="H1070" s="20">
        <f t="shared" si="59"/>
        <v>0</v>
      </c>
      <c r="J1070" s="133"/>
      <c r="K1070" s="138"/>
      <c r="L1070" s="133"/>
      <c r="M1070" s="139"/>
    </row>
    <row r="1071" spans="1:13" s="29" customFormat="1" ht="35.1" customHeight="1" x14ac:dyDescent="0.3">
      <c r="A1071" s="21"/>
      <c r="B1071" s="22"/>
      <c r="C1071" s="182"/>
      <c r="D1071" s="24"/>
      <c r="E1071" s="25"/>
      <c r="F1071" s="26"/>
      <c r="G1071" s="27"/>
      <c r="H1071" s="20"/>
      <c r="J1071" s="134"/>
      <c r="K1071" s="138"/>
      <c r="L1071" s="134"/>
      <c r="M1071" s="142"/>
    </row>
    <row r="1072" spans="1:13" s="4" customFormat="1" ht="35.1" customHeight="1" x14ac:dyDescent="0.3">
      <c r="A1072" s="13">
        <v>132</v>
      </c>
      <c r="B1072" s="14" t="s">
        <v>12</v>
      </c>
      <c r="C1072" s="186" t="s">
        <v>911</v>
      </c>
      <c r="D1072" s="16" t="s">
        <v>115</v>
      </c>
      <c r="E1072" s="17">
        <v>1</v>
      </c>
      <c r="F1072" s="18" t="s">
        <v>114</v>
      </c>
      <c r="G1072" s="19"/>
      <c r="H1072" s="20">
        <f t="shared" si="59"/>
        <v>0</v>
      </c>
      <c r="J1072" s="133"/>
      <c r="K1072" s="138"/>
      <c r="L1072" s="133"/>
      <c r="M1072" s="139"/>
    </row>
    <row r="1073" spans="1:13" s="29" customFormat="1" ht="35.1" customHeight="1" x14ac:dyDescent="0.3">
      <c r="A1073" s="21"/>
      <c r="B1073" s="22"/>
      <c r="C1073" s="23"/>
      <c r="D1073" s="24"/>
      <c r="E1073" s="25"/>
      <c r="F1073" s="26"/>
      <c r="G1073" s="27"/>
      <c r="H1073" s="28"/>
      <c r="J1073" s="134"/>
      <c r="K1073" s="138"/>
      <c r="L1073" s="134"/>
      <c r="M1073" s="142"/>
    </row>
    <row r="1074" spans="1:13" s="71" customFormat="1" ht="35.1" customHeight="1" x14ac:dyDescent="0.2">
      <c r="A1074" s="66"/>
      <c r="B1074" s="67" t="s">
        <v>3</v>
      </c>
      <c r="C1074" s="67" t="s">
        <v>25</v>
      </c>
      <c r="D1074" s="67" t="s">
        <v>97</v>
      </c>
      <c r="E1074" s="68"/>
      <c r="F1074" s="67"/>
      <c r="G1074" s="69"/>
      <c r="H1074" s="70">
        <f>SUM(H971:H1073)</f>
        <v>0</v>
      </c>
      <c r="J1074" s="130"/>
      <c r="K1074" s="138"/>
      <c r="L1074" s="130"/>
      <c r="M1074" s="132"/>
    </row>
    <row r="1075" spans="1:13" s="71" customFormat="1" ht="35.1" customHeight="1" x14ac:dyDescent="0.2">
      <c r="A1075" s="66"/>
      <c r="B1075" s="67"/>
      <c r="C1075" s="67"/>
      <c r="D1075" s="67"/>
      <c r="E1075" s="68"/>
      <c r="F1075" s="67"/>
      <c r="G1075" s="69"/>
      <c r="H1075" s="70"/>
      <c r="J1075" s="130"/>
      <c r="K1075" s="138"/>
      <c r="L1075" s="130"/>
      <c r="M1075" s="132"/>
    </row>
    <row r="1076" spans="1:13" s="71" customFormat="1" ht="35.1" customHeight="1" x14ac:dyDescent="0.2">
      <c r="A1076" s="66"/>
      <c r="B1076" s="67" t="s">
        <v>3</v>
      </c>
      <c r="C1076" s="67" t="s">
        <v>116</v>
      </c>
      <c r="D1076" s="67" t="s">
        <v>117</v>
      </c>
      <c r="E1076" s="68"/>
      <c r="F1076" s="67"/>
      <c r="G1076" s="69"/>
      <c r="H1076" s="70"/>
      <c r="J1076" s="130"/>
      <c r="K1076" s="138"/>
      <c r="L1076" s="130"/>
      <c r="M1076" s="132"/>
    </row>
    <row r="1077" spans="1:13" s="4" customFormat="1" ht="35.1" customHeight="1" x14ac:dyDescent="0.3">
      <c r="A1077" s="13">
        <v>133</v>
      </c>
      <c r="B1077" s="14" t="s">
        <v>12</v>
      </c>
      <c r="C1077" s="15" t="s">
        <v>118</v>
      </c>
      <c r="D1077" s="16" t="s">
        <v>119</v>
      </c>
      <c r="E1077" s="17">
        <f>E1081</f>
        <v>287.20999999999998</v>
      </c>
      <c r="F1077" s="18" t="s">
        <v>42</v>
      </c>
      <c r="G1077" s="19"/>
      <c r="H1077" s="20">
        <f>E1077*G1077</f>
        <v>0</v>
      </c>
      <c r="J1077" s="133"/>
      <c r="K1077" s="138"/>
      <c r="L1077" s="133"/>
      <c r="M1077" s="139"/>
    </row>
    <row r="1078" spans="1:13" s="177" customFormat="1" ht="35.1" customHeight="1" x14ac:dyDescent="0.3">
      <c r="A1078" s="287"/>
      <c r="B1078" s="278"/>
      <c r="C1078" s="186"/>
      <c r="D1078" s="193" t="s">
        <v>230</v>
      </c>
      <c r="E1078" s="197">
        <f>M16</f>
        <v>76.67</v>
      </c>
      <c r="F1078" s="299" t="s">
        <v>42</v>
      </c>
      <c r="G1078" s="19"/>
      <c r="H1078" s="20"/>
      <c r="J1078" s="178"/>
      <c r="K1078" s="280"/>
      <c r="L1078" s="178"/>
      <c r="M1078" s="179"/>
    </row>
    <row r="1079" spans="1:13" s="189" customFormat="1" ht="35.1" customHeight="1" x14ac:dyDescent="0.3">
      <c r="A1079" s="180"/>
      <c r="B1079" s="181"/>
      <c r="C1079" s="182"/>
      <c r="D1079" s="183" t="s">
        <v>176</v>
      </c>
      <c r="E1079" s="187">
        <v>0</v>
      </c>
      <c r="F1079" s="188" t="s">
        <v>42</v>
      </c>
      <c r="G1079" s="27"/>
      <c r="H1079" s="20"/>
      <c r="J1079" s="190"/>
      <c r="K1079" s="280"/>
      <c r="L1079" s="190"/>
      <c r="M1079" s="300"/>
    </row>
    <row r="1080" spans="1:13" s="189" customFormat="1" ht="35.1" customHeight="1" x14ac:dyDescent="0.3">
      <c r="A1080" s="180"/>
      <c r="B1080" s="181"/>
      <c r="C1080" s="182"/>
      <c r="D1080" s="183" t="s">
        <v>177</v>
      </c>
      <c r="E1080" s="187">
        <f>M9</f>
        <v>210.54</v>
      </c>
      <c r="F1080" s="188" t="s">
        <v>42</v>
      </c>
      <c r="G1080" s="27"/>
      <c r="H1080" s="20"/>
      <c r="J1080" s="190"/>
      <c r="K1080" s="280"/>
      <c r="L1080" s="190"/>
      <c r="M1080" s="300"/>
    </row>
    <row r="1081" spans="1:13" s="189" customFormat="1" ht="35.1" customHeight="1" x14ac:dyDescent="0.3">
      <c r="A1081" s="180"/>
      <c r="B1081" s="181"/>
      <c r="C1081" s="182"/>
      <c r="D1081" s="288" t="s">
        <v>216</v>
      </c>
      <c r="E1081" s="294">
        <f>SUM(E1078:E1080)</f>
        <v>287.20999999999998</v>
      </c>
      <c r="F1081" s="295" t="s">
        <v>42</v>
      </c>
      <c r="G1081" s="27"/>
      <c r="H1081" s="20"/>
      <c r="J1081" s="190"/>
      <c r="K1081" s="280"/>
      <c r="L1081" s="190"/>
      <c r="M1081" s="300"/>
    </row>
    <row r="1082" spans="1:13" s="29" customFormat="1" ht="35.1" customHeight="1" x14ac:dyDescent="0.3">
      <c r="A1082" s="21"/>
      <c r="B1082" s="22"/>
      <c r="C1082" s="23"/>
      <c r="D1082" s="24"/>
      <c r="E1082" s="25"/>
      <c r="F1082" s="26"/>
      <c r="G1082" s="27"/>
      <c r="H1082" s="20"/>
      <c r="J1082" s="134"/>
      <c r="K1082" s="138"/>
      <c r="L1082" s="134"/>
      <c r="M1082" s="142"/>
    </row>
    <row r="1083" spans="1:13" s="4" customFormat="1" ht="35.1" customHeight="1" x14ac:dyDescent="0.3">
      <c r="A1083" s="13">
        <v>154</v>
      </c>
      <c r="B1083" s="14" t="s">
        <v>12</v>
      </c>
      <c r="C1083" s="15" t="s">
        <v>120</v>
      </c>
      <c r="D1083" s="16" t="s">
        <v>121</v>
      </c>
      <c r="E1083" s="17">
        <f>E1084</f>
        <v>210.54</v>
      </c>
      <c r="F1083" s="18" t="s">
        <v>42</v>
      </c>
      <c r="G1083" s="19"/>
      <c r="H1083" s="20">
        <f t="shared" ref="H1083:H1103" si="64">E1083*G1083</f>
        <v>0</v>
      </c>
      <c r="J1083" s="133"/>
      <c r="K1083" s="138"/>
      <c r="L1083" s="133"/>
      <c r="M1083" s="139"/>
    </row>
    <row r="1084" spans="1:13" s="29" customFormat="1" ht="35.1" customHeight="1" x14ac:dyDescent="0.3">
      <c r="A1084" s="21"/>
      <c r="B1084" s="22"/>
      <c r="C1084" s="23" t="s">
        <v>0</v>
      </c>
      <c r="D1084" s="24">
        <v>210.54</v>
      </c>
      <c r="E1084" s="25">
        <f>E1080+E1079</f>
        <v>210.54</v>
      </c>
      <c r="F1084" s="26" t="s">
        <v>42</v>
      </c>
      <c r="G1084" s="27"/>
      <c r="H1084" s="20"/>
      <c r="J1084" s="134"/>
      <c r="K1084" s="138"/>
      <c r="L1084" s="134"/>
      <c r="M1084" s="142"/>
    </row>
    <row r="1085" spans="1:13" s="29" customFormat="1" ht="35.1" customHeight="1" x14ac:dyDescent="0.3">
      <c r="A1085" s="21"/>
      <c r="B1085" s="22"/>
      <c r="C1085" s="23"/>
      <c r="D1085" s="24"/>
      <c r="E1085" s="25"/>
      <c r="F1085" s="26"/>
      <c r="G1085" s="27"/>
      <c r="H1085" s="20"/>
      <c r="J1085" s="134"/>
      <c r="K1085" s="138"/>
      <c r="L1085" s="134"/>
      <c r="M1085" s="142"/>
    </row>
    <row r="1086" spans="1:13" s="4" customFormat="1" ht="35.1" customHeight="1" x14ac:dyDescent="0.3">
      <c r="A1086" s="13">
        <v>155</v>
      </c>
      <c r="B1086" s="14" t="s">
        <v>12</v>
      </c>
      <c r="C1086" s="15" t="s">
        <v>122</v>
      </c>
      <c r="D1086" s="16" t="s">
        <v>123</v>
      </c>
      <c r="E1086" s="17">
        <f>E1087</f>
        <v>2947.56</v>
      </c>
      <c r="F1086" s="18" t="s">
        <v>42</v>
      </c>
      <c r="G1086" s="19"/>
      <c r="H1086" s="20">
        <f t="shared" si="64"/>
        <v>0</v>
      </c>
      <c r="J1086" s="133"/>
      <c r="K1086" s="138"/>
      <c r="L1086" s="133"/>
      <c r="M1086" s="139"/>
    </row>
    <row r="1087" spans="1:13" s="29" customFormat="1" ht="35.1" customHeight="1" x14ac:dyDescent="0.3">
      <c r="A1087" s="21"/>
      <c r="B1087" s="22"/>
      <c r="C1087" s="23" t="s">
        <v>0</v>
      </c>
      <c r="D1087" s="24" t="s">
        <v>863</v>
      </c>
      <c r="E1087" s="25">
        <f>14*210.54</f>
        <v>2947.56</v>
      </c>
      <c r="F1087" s="26"/>
      <c r="G1087" s="27"/>
      <c r="H1087" s="20"/>
      <c r="J1087" s="134"/>
      <c r="K1087" s="138"/>
      <c r="L1087" s="134"/>
      <c r="M1087" s="142"/>
    </row>
    <row r="1088" spans="1:13" s="4" customFormat="1" ht="35.1" customHeight="1" x14ac:dyDescent="0.3">
      <c r="A1088" s="13">
        <v>156</v>
      </c>
      <c r="B1088" s="14" t="s">
        <v>12</v>
      </c>
      <c r="C1088" s="15" t="s">
        <v>124</v>
      </c>
      <c r="D1088" s="16" t="s">
        <v>125</v>
      </c>
      <c r="E1088" s="17">
        <f>E1089</f>
        <v>210.54</v>
      </c>
      <c r="F1088" s="18" t="s">
        <v>42</v>
      </c>
      <c r="G1088" s="19"/>
      <c r="H1088" s="20">
        <f t="shared" si="64"/>
        <v>0</v>
      </c>
      <c r="J1088" s="133"/>
      <c r="K1088" s="138"/>
      <c r="L1088" s="133"/>
      <c r="M1088" s="139"/>
    </row>
    <row r="1089" spans="1:13" s="29" customFormat="1" ht="35.1" customHeight="1" x14ac:dyDescent="0.3">
      <c r="A1089" s="21"/>
      <c r="B1089" s="22"/>
      <c r="C1089" s="23"/>
      <c r="D1089" s="24">
        <v>210.54</v>
      </c>
      <c r="E1089" s="25">
        <f>E1085+E1084</f>
        <v>210.54</v>
      </c>
      <c r="F1089" s="26" t="s">
        <v>42</v>
      </c>
      <c r="G1089" s="27"/>
      <c r="H1089" s="20"/>
      <c r="J1089" s="134"/>
      <c r="K1089" s="138"/>
      <c r="L1089" s="134"/>
      <c r="M1089" s="142"/>
    </row>
    <row r="1090" spans="1:13" s="29" customFormat="1" ht="35.1" customHeight="1" x14ac:dyDescent="0.3">
      <c r="A1090" s="21"/>
      <c r="B1090" s="22"/>
      <c r="C1090" s="23"/>
      <c r="D1090" s="24"/>
      <c r="E1090" s="25"/>
      <c r="F1090" s="26"/>
      <c r="G1090" s="27"/>
      <c r="H1090" s="20"/>
      <c r="J1090" s="134"/>
      <c r="K1090" s="138"/>
      <c r="L1090" s="134"/>
      <c r="M1090" s="142"/>
    </row>
    <row r="1091" spans="1:13" s="4" customFormat="1" ht="35.1" customHeight="1" x14ac:dyDescent="0.3">
      <c r="A1091" s="13">
        <v>157</v>
      </c>
      <c r="B1091" s="14" t="s">
        <v>12</v>
      </c>
      <c r="C1091" s="15" t="s">
        <v>126</v>
      </c>
      <c r="D1091" s="16" t="s">
        <v>127</v>
      </c>
      <c r="E1091" s="17">
        <f>E1092</f>
        <v>76.67</v>
      </c>
      <c r="F1091" s="18" t="s">
        <v>42</v>
      </c>
      <c r="G1091" s="19"/>
      <c r="H1091" s="20">
        <f t="shared" si="64"/>
        <v>0</v>
      </c>
      <c r="J1091" s="133"/>
      <c r="K1091" s="138"/>
      <c r="L1091" s="133"/>
      <c r="M1091" s="139"/>
    </row>
    <row r="1092" spans="1:13" s="29" customFormat="1" ht="35.1" customHeight="1" x14ac:dyDescent="0.3">
      <c r="A1092" s="21"/>
      <c r="B1092" s="22"/>
      <c r="C1092" s="23" t="s">
        <v>0</v>
      </c>
      <c r="D1092" s="191">
        <f>E1078</f>
        <v>76.67</v>
      </c>
      <c r="E1092" s="25">
        <f>D1092</f>
        <v>76.67</v>
      </c>
      <c r="F1092" s="26" t="s">
        <v>42</v>
      </c>
      <c r="G1092" s="27"/>
      <c r="H1092" s="20"/>
      <c r="J1092" s="134"/>
      <c r="K1092" s="138"/>
      <c r="L1092" s="134"/>
      <c r="M1092" s="142"/>
    </row>
    <row r="1093" spans="1:13" s="29" customFormat="1" ht="35.1" customHeight="1" x14ac:dyDescent="0.3">
      <c r="A1093" s="21"/>
      <c r="B1093" s="22"/>
      <c r="C1093" s="23"/>
      <c r="D1093" s="191"/>
      <c r="E1093" s="25"/>
      <c r="F1093" s="26"/>
      <c r="G1093" s="27"/>
      <c r="H1093" s="20"/>
      <c r="J1093" s="134"/>
      <c r="K1093" s="138"/>
      <c r="L1093" s="134"/>
      <c r="M1093" s="142"/>
    </row>
    <row r="1094" spans="1:13" s="4" customFormat="1" ht="35.1" customHeight="1" x14ac:dyDescent="0.3">
      <c r="A1094" s="13">
        <v>158</v>
      </c>
      <c r="B1094" s="14" t="s">
        <v>12</v>
      </c>
      <c r="C1094" s="15" t="s">
        <v>128</v>
      </c>
      <c r="D1094" s="16" t="s">
        <v>129</v>
      </c>
      <c r="E1094" s="17">
        <f>E1095</f>
        <v>1073.3800000000001</v>
      </c>
      <c r="F1094" s="18" t="s">
        <v>42</v>
      </c>
      <c r="G1094" s="19"/>
      <c r="H1094" s="20">
        <f t="shared" si="64"/>
        <v>0</v>
      </c>
      <c r="J1094" s="133"/>
      <c r="K1094" s="138"/>
      <c r="L1094" s="133"/>
      <c r="M1094" s="139"/>
    </row>
    <row r="1095" spans="1:13" s="4" customFormat="1" ht="35.1" customHeight="1" x14ac:dyDescent="0.3">
      <c r="A1095" s="13"/>
      <c r="B1095" s="14"/>
      <c r="C1095" s="15"/>
      <c r="D1095" s="192" t="s">
        <v>864</v>
      </c>
      <c r="E1095" s="17">
        <f>14*76.67</f>
        <v>1073.3800000000001</v>
      </c>
      <c r="F1095" s="18" t="s">
        <v>42</v>
      </c>
      <c r="G1095" s="19"/>
      <c r="H1095" s="20"/>
      <c r="J1095" s="133"/>
      <c r="K1095" s="138"/>
      <c r="L1095" s="133"/>
      <c r="M1095" s="139"/>
    </row>
    <row r="1096" spans="1:13" s="29" customFormat="1" ht="35.1" customHeight="1" x14ac:dyDescent="0.3">
      <c r="A1096" s="21"/>
      <c r="B1096" s="22"/>
      <c r="C1096" s="23"/>
      <c r="D1096" s="24"/>
      <c r="E1096" s="25"/>
      <c r="F1096" s="26"/>
      <c r="G1096" s="27"/>
      <c r="H1096" s="20"/>
      <c r="J1096" s="134"/>
      <c r="K1096" s="138"/>
      <c r="L1096" s="134"/>
      <c r="M1096" s="142"/>
    </row>
    <row r="1097" spans="1:13" s="4" customFormat="1" ht="35.1" customHeight="1" x14ac:dyDescent="0.3">
      <c r="A1097" s="13">
        <v>159</v>
      </c>
      <c r="B1097" s="14" t="s">
        <v>12</v>
      </c>
      <c r="C1097" s="15" t="s">
        <v>130</v>
      </c>
      <c r="D1097" s="16" t="s">
        <v>131</v>
      </c>
      <c r="E1097" s="17">
        <f>E1098</f>
        <v>0</v>
      </c>
      <c r="F1097" s="18" t="s">
        <v>42</v>
      </c>
      <c r="G1097" s="19"/>
      <c r="H1097" s="20">
        <f t="shared" si="64"/>
        <v>0</v>
      </c>
      <c r="J1097" s="133"/>
      <c r="K1097" s="138"/>
      <c r="L1097" s="133"/>
      <c r="M1097" s="139"/>
    </row>
    <row r="1098" spans="1:13" s="29" customFormat="1" ht="35.1" customHeight="1" x14ac:dyDescent="0.3">
      <c r="A1098" s="21"/>
      <c r="B1098" s="22"/>
      <c r="C1098" s="23" t="s">
        <v>0</v>
      </c>
      <c r="D1098" s="191" t="str">
        <f>D1079</f>
        <v>odstranění betonů</v>
      </c>
      <c r="E1098" s="25">
        <f>E1079</f>
        <v>0</v>
      </c>
      <c r="F1098" s="26" t="s">
        <v>42</v>
      </c>
      <c r="G1098" s="27"/>
      <c r="H1098" s="20"/>
      <c r="J1098" s="134"/>
      <c r="K1098" s="138"/>
      <c r="L1098" s="134"/>
      <c r="M1098" s="142"/>
    </row>
    <row r="1099" spans="1:13" s="29" customFormat="1" ht="35.1" customHeight="1" x14ac:dyDescent="0.3">
      <c r="A1099" s="21"/>
      <c r="B1099" s="22"/>
      <c r="C1099" s="23"/>
      <c r="D1099" s="24"/>
      <c r="E1099" s="25"/>
      <c r="F1099" s="26"/>
      <c r="G1099" s="27"/>
      <c r="H1099" s="20"/>
      <c r="J1099" s="134"/>
      <c r="K1099" s="138"/>
      <c r="L1099" s="134"/>
      <c r="M1099" s="142"/>
    </row>
    <row r="1100" spans="1:13" s="4" customFormat="1" ht="35.1" customHeight="1" x14ac:dyDescent="0.3">
      <c r="A1100" s="13">
        <v>160</v>
      </c>
      <c r="B1100" s="14" t="s">
        <v>12</v>
      </c>
      <c r="C1100" s="15" t="s">
        <v>132</v>
      </c>
      <c r="D1100" s="16" t="s">
        <v>133</v>
      </c>
      <c r="E1100" s="17">
        <f>E1101</f>
        <v>76.67</v>
      </c>
      <c r="F1100" s="18" t="s">
        <v>42</v>
      </c>
      <c r="G1100" s="19"/>
      <c r="H1100" s="20">
        <f t="shared" si="64"/>
        <v>0</v>
      </c>
      <c r="J1100" s="133"/>
      <c r="K1100" s="138"/>
      <c r="L1100" s="133"/>
      <c r="M1100" s="139"/>
    </row>
    <row r="1101" spans="1:13" s="29" customFormat="1" ht="35.1" customHeight="1" x14ac:dyDescent="0.3">
      <c r="A1101" s="21"/>
      <c r="B1101" s="22"/>
      <c r="C1101" s="23" t="s">
        <v>0</v>
      </c>
      <c r="D1101" s="16" t="s">
        <v>230</v>
      </c>
      <c r="E1101" s="17">
        <f>E1078</f>
        <v>76.67</v>
      </c>
      <c r="F1101" s="18" t="s">
        <v>42</v>
      </c>
      <c r="G1101" s="27"/>
      <c r="H1101" s="20"/>
      <c r="J1101" s="134"/>
      <c r="K1101" s="138"/>
      <c r="L1101" s="134"/>
      <c r="M1101" s="142"/>
    </row>
    <row r="1102" spans="1:13" s="29" customFormat="1" ht="35.1" customHeight="1" x14ac:dyDescent="0.3">
      <c r="A1102" s="21"/>
      <c r="B1102" s="22"/>
      <c r="C1102" s="23"/>
      <c r="D1102" s="16"/>
      <c r="E1102" s="17"/>
      <c r="F1102" s="18"/>
      <c r="G1102" s="27"/>
      <c r="H1102" s="20"/>
      <c r="J1102" s="134"/>
      <c r="K1102" s="138"/>
      <c r="L1102" s="134"/>
      <c r="M1102" s="142"/>
    </row>
    <row r="1103" spans="1:13" s="4" customFormat="1" ht="35.1" customHeight="1" x14ac:dyDescent="0.3">
      <c r="A1103" s="13">
        <v>161</v>
      </c>
      <c r="B1103" s="14" t="s">
        <v>12</v>
      </c>
      <c r="C1103" s="15" t="s">
        <v>134</v>
      </c>
      <c r="D1103" s="16" t="s">
        <v>135</v>
      </c>
      <c r="E1103" s="17">
        <f>E1104</f>
        <v>210.54</v>
      </c>
      <c r="F1103" s="18" t="s">
        <v>42</v>
      </c>
      <c r="G1103" s="19"/>
      <c r="H1103" s="20">
        <f t="shared" si="64"/>
        <v>0</v>
      </c>
      <c r="J1103" s="133"/>
      <c r="K1103" s="138"/>
      <c r="L1103" s="133"/>
      <c r="M1103" s="139"/>
    </row>
    <row r="1104" spans="1:13" s="29" customFormat="1" ht="35.1" customHeight="1" x14ac:dyDescent="0.3">
      <c r="A1104" s="21"/>
      <c r="B1104" s="22"/>
      <c r="C1104" s="23" t="s">
        <v>0</v>
      </c>
      <c r="D1104" s="24" t="s">
        <v>177</v>
      </c>
      <c r="E1104" s="25">
        <f>E1080</f>
        <v>210.54</v>
      </c>
      <c r="F1104" s="26" t="s">
        <v>42</v>
      </c>
      <c r="G1104" s="27"/>
      <c r="H1104" s="28"/>
      <c r="J1104" s="134"/>
      <c r="K1104" s="138"/>
      <c r="L1104" s="134"/>
      <c r="M1104" s="142"/>
    </row>
    <row r="1105" spans="1:13" s="71" customFormat="1" ht="35.1" customHeight="1" x14ac:dyDescent="0.2">
      <c r="A1105" s="66"/>
      <c r="B1105" s="67" t="s">
        <v>3</v>
      </c>
      <c r="C1105" s="67" t="s">
        <v>116</v>
      </c>
      <c r="D1105" s="67" t="s">
        <v>117</v>
      </c>
      <c r="E1105" s="68"/>
      <c r="F1105" s="67"/>
      <c r="G1105" s="69"/>
      <c r="H1105" s="70">
        <f>SUM(H1077:H1104)</f>
        <v>0</v>
      </c>
      <c r="J1105" s="130"/>
      <c r="K1105" s="138"/>
      <c r="L1105" s="130"/>
      <c r="M1105" s="132"/>
    </row>
    <row r="1106" spans="1:13" s="62" customFormat="1" ht="35.1" customHeight="1" x14ac:dyDescent="0.25">
      <c r="A1106" s="56"/>
      <c r="B1106" s="57"/>
      <c r="C1106" s="58"/>
      <c r="D1106" s="58"/>
      <c r="E1106" s="59"/>
      <c r="F1106" s="57"/>
      <c r="G1106" s="60"/>
      <c r="H1106" s="61"/>
      <c r="J1106" s="143"/>
      <c r="K1106" s="138"/>
      <c r="L1106" s="143"/>
      <c r="M1106" s="144"/>
    </row>
    <row r="1107" spans="1:13" s="71" customFormat="1" ht="35.1" customHeight="1" x14ac:dyDescent="0.2">
      <c r="A1107" s="66"/>
      <c r="B1107" s="67" t="s">
        <v>3</v>
      </c>
      <c r="C1107" s="67" t="s">
        <v>136</v>
      </c>
      <c r="D1107" s="67" t="s">
        <v>137</v>
      </c>
      <c r="E1107" s="68"/>
      <c r="F1107" s="67"/>
      <c r="G1107" s="69"/>
      <c r="H1107" s="70"/>
      <c r="J1107" s="130"/>
      <c r="K1107" s="138"/>
      <c r="L1107" s="130"/>
      <c r="M1107" s="132"/>
    </row>
    <row r="1108" spans="1:13" s="4" customFormat="1" ht="35.1" customHeight="1" x14ac:dyDescent="0.3">
      <c r="A1108" s="13">
        <v>162</v>
      </c>
      <c r="B1108" s="14" t="s">
        <v>12</v>
      </c>
      <c r="C1108" s="15" t="s">
        <v>138</v>
      </c>
      <c r="D1108" s="16" t="s">
        <v>139</v>
      </c>
      <c r="E1108" s="17">
        <v>2481.4499999999998</v>
      </c>
      <c r="F1108" s="18" t="s">
        <v>42</v>
      </c>
      <c r="G1108" s="19"/>
      <c r="H1108" s="20">
        <f>E1108*G1108</f>
        <v>0</v>
      </c>
      <c r="J1108" s="133"/>
      <c r="K1108" s="138"/>
      <c r="L1108" s="133"/>
      <c r="M1108" s="155"/>
    </row>
    <row r="1109" spans="1:13" s="71" customFormat="1" ht="35.1" customHeight="1" x14ac:dyDescent="0.2">
      <c r="A1109" s="66"/>
      <c r="B1109" s="67" t="s">
        <v>3</v>
      </c>
      <c r="C1109" s="67" t="s">
        <v>136</v>
      </c>
      <c r="D1109" s="67" t="s">
        <v>157</v>
      </c>
      <c r="E1109" s="68"/>
      <c r="F1109" s="67"/>
      <c r="G1109" s="69"/>
      <c r="H1109" s="70">
        <f>SUM(H1108)</f>
        <v>0</v>
      </c>
      <c r="J1109" s="130"/>
      <c r="K1109" s="138"/>
      <c r="L1109" s="130"/>
      <c r="M1109" s="132"/>
    </row>
    <row r="1110" spans="1:13" s="71" customFormat="1" ht="35.1" customHeight="1" thickBot="1" x14ac:dyDescent="0.25">
      <c r="A1110" s="79"/>
      <c r="B1110" s="77"/>
      <c r="C1110" s="77"/>
      <c r="D1110" s="77"/>
      <c r="E1110" s="82"/>
      <c r="F1110" s="77"/>
      <c r="G1110" s="78"/>
      <c r="H1110" s="85"/>
      <c r="J1110" s="130"/>
      <c r="K1110" s="138"/>
      <c r="L1110" s="130"/>
      <c r="M1110" s="132"/>
    </row>
    <row r="1111" spans="1:13" s="71" customFormat="1" ht="35.1" customHeight="1" thickBot="1" x14ac:dyDescent="0.25">
      <c r="A1111" s="83"/>
      <c r="B1111" s="80"/>
      <c r="C1111" s="80"/>
      <c r="D1111" s="80" t="s">
        <v>201</v>
      </c>
      <c r="E1111" s="84"/>
      <c r="F1111" s="80"/>
      <c r="G1111" s="81"/>
      <c r="H1111" s="86">
        <f>H523+H649+H667+H968+H1074+H1105+H1109</f>
        <v>0</v>
      </c>
      <c r="J1111" s="145"/>
      <c r="K1111" s="146">
        <f>SUM(K9:K1110)</f>
        <v>2481.4487866000009</v>
      </c>
      <c r="L1111" s="145"/>
      <c r="M1111" s="147"/>
    </row>
  </sheetData>
  <mergeCells count="1">
    <mergeCell ref="A5:H5"/>
  </mergeCells>
  <printOptions horizontalCentered="1"/>
  <pageMargins left="0.19685039370078741" right="0.19685039370078741" top="0.19685039370078741" bottom="0.39370078740157483" header="0" footer="0"/>
  <pageSetup paperSize="8" scale="86" fitToHeight="21" orientation="portrait" blackAndWhite="1" r:id="rId1"/>
  <headerFooter>
    <oddFooter>&amp;CStrana &amp;P z &amp;N</oddFooter>
  </headerFooter>
  <rowBreaks count="4" manualBreakCount="4">
    <brk id="509" max="7" man="1"/>
    <brk id="680" max="7" man="1"/>
    <brk id="774" max="7" man="1"/>
    <brk id="107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="115" zoomScaleNormal="115" workbookViewId="0">
      <selection activeCell="K9" sqref="K9"/>
    </sheetView>
  </sheetViews>
  <sheetFormatPr defaultRowHeight="11.25" x14ac:dyDescent="0.2"/>
  <cols>
    <col min="1" max="1" width="4.1640625" style="223" customWidth="1"/>
    <col min="2" max="2" width="5.83203125" style="223" customWidth="1"/>
    <col min="3" max="3" width="17.1640625" style="223" customWidth="1"/>
    <col min="4" max="4" width="75" style="223" customWidth="1"/>
    <col min="5" max="5" width="11.1640625" style="224" customWidth="1"/>
    <col min="6" max="6" width="8.6640625" style="225" customWidth="1"/>
    <col min="7" max="7" width="15.83203125" style="226" customWidth="1"/>
    <col min="8" max="8" width="23.5" style="227" customWidth="1"/>
    <col min="9" max="16384" width="9.33203125" style="223"/>
  </cols>
  <sheetData>
    <row r="1" spans="1:8" s="46" customFormat="1" ht="18" x14ac:dyDescent="0.25">
      <c r="A1" s="44" t="s">
        <v>195</v>
      </c>
      <c r="B1" s="45"/>
      <c r="E1" s="47"/>
      <c r="F1" s="48"/>
      <c r="G1" s="49"/>
      <c r="H1" s="49"/>
    </row>
    <row r="2" spans="1:8" s="46" customFormat="1" ht="18" x14ac:dyDescent="0.25">
      <c r="A2" s="44" t="s">
        <v>159</v>
      </c>
      <c r="B2" s="76"/>
    </row>
    <row r="3" spans="1:8" s="46" customFormat="1" ht="18" x14ac:dyDescent="0.25">
      <c r="A3" s="63"/>
      <c r="B3" s="63"/>
      <c r="C3" s="76"/>
      <c r="D3" s="76"/>
      <c r="E3" s="76"/>
      <c r="F3" s="76"/>
    </row>
    <row r="4" spans="1:8" s="4" customFormat="1" ht="18.75" thickBot="1" x14ac:dyDescent="0.35">
      <c r="A4" s="53" t="s">
        <v>913</v>
      </c>
      <c r="E4" s="199"/>
      <c r="F4" s="199"/>
      <c r="G4" s="200"/>
      <c r="H4" s="201"/>
    </row>
    <row r="5" spans="1:8" s="4" customFormat="1" ht="24.95" customHeight="1" thickBot="1" x14ac:dyDescent="0.35">
      <c r="A5" s="313" t="s">
        <v>158</v>
      </c>
      <c r="B5" s="314"/>
      <c r="C5" s="314"/>
      <c r="D5" s="314"/>
      <c r="E5" s="314"/>
      <c r="F5" s="314"/>
      <c r="G5" s="314"/>
      <c r="H5" s="315"/>
    </row>
    <row r="6" spans="1:8" s="208" customFormat="1" ht="24.95" customHeight="1" x14ac:dyDescent="0.3">
      <c r="A6" s="202" t="s">
        <v>5</v>
      </c>
      <c r="B6" s="203" t="s">
        <v>2</v>
      </c>
      <c r="C6" s="203" t="s">
        <v>1</v>
      </c>
      <c r="D6" s="203" t="s">
        <v>6</v>
      </c>
      <c r="E6" s="204" t="s">
        <v>8</v>
      </c>
      <c r="F6" s="205" t="s">
        <v>7</v>
      </c>
      <c r="G6" s="206" t="s">
        <v>307</v>
      </c>
      <c r="H6" s="207" t="s">
        <v>308</v>
      </c>
    </row>
    <row r="7" spans="1:8" s="71" customFormat="1" ht="24.95" customHeight="1" x14ac:dyDescent="0.2">
      <c r="A7" s="66"/>
      <c r="B7" s="67" t="s">
        <v>3</v>
      </c>
      <c r="C7" s="67" t="s">
        <v>309</v>
      </c>
      <c r="D7" s="67" t="s">
        <v>310</v>
      </c>
      <c r="E7" s="209"/>
      <c r="F7" s="209"/>
      <c r="G7" s="69"/>
      <c r="H7" s="210"/>
    </row>
    <row r="8" spans="1:8" s="71" customFormat="1" ht="24.95" customHeight="1" x14ac:dyDescent="0.2">
      <c r="A8" s="66"/>
      <c r="B8" s="67" t="s">
        <v>3</v>
      </c>
      <c r="C8" s="67" t="s">
        <v>311</v>
      </c>
      <c r="D8" s="67" t="s">
        <v>312</v>
      </c>
      <c r="E8" s="209"/>
      <c r="F8" s="209"/>
      <c r="G8" s="69"/>
      <c r="H8" s="210"/>
    </row>
    <row r="9" spans="1:8" s="55" customFormat="1" ht="24.95" customHeight="1" x14ac:dyDescent="0.3">
      <c r="A9" s="211" t="s">
        <v>4</v>
      </c>
      <c r="B9" s="212" t="s">
        <v>12</v>
      </c>
      <c r="C9" s="213" t="s">
        <v>313</v>
      </c>
      <c r="D9" s="214" t="s">
        <v>314</v>
      </c>
      <c r="E9" s="215">
        <v>1</v>
      </c>
      <c r="F9" s="216" t="s">
        <v>315</v>
      </c>
      <c r="G9" s="217"/>
      <c r="H9" s="218">
        <f t="shared" ref="H9:H15" si="0">ROUND(G9*E9,2)</f>
        <v>0</v>
      </c>
    </row>
    <row r="10" spans="1:8" s="55" customFormat="1" ht="24.95" customHeight="1" x14ac:dyDescent="0.3">
      <c r="A10" s="211" t="s">
        <v>316</v>
      </c>
      <c r="B10" s="212" t="s">
        <v>12</v>
      </c>
      <c r="C10" s="213" t="s">
        <v>317</v>
      </c>
      <c r="D10" s="214" t="s">
        <v>318</v>
      </c>
      <c r="E10" s="215">
        <v>1</v>
      </c>
      <c r="F10" s="216" t="s">
        <v>315</v>
      </c>
      <c r="G10" s="217"/>
      <c r="H10" s="218">
        <f t="shared" si="0"/>
        <v>0</v>
      </c>
    </row>
    <row r="11" spans="1:8" s="55" customFormat="1" ht="24.95" customHeight="1" x14ac:dyDescent="0.3">
      <c r="A11" s="211" t="s">
        <v>319</v>
      </c>
      <c r="B11" s="212" t="s">
        <v>12</v>
      </c>
      <c r="C11" s="213" t="s">
        <v>320</v>
      </c>
      <c r="D11" s="214" t="s">
        <v>865</v>
      </c>
      <c r="E11" s="215">
        <v>1</v>
      </c>
      <c r="F11" s="216" t="s">
        <v>315</v>
      </c>
      <c r="G11" s="217"/>
      <c r="H11" s="218">
        <f t="shared" si="0"/>
        <v>0</v>
      </c>
    </row>
    <row r="12" spans="1:8" s="55" customFormat="1" ht="24.95" customHeight="1" x14ac:dyDescent="0.3">
      <c r="A12" s="211" t="s">
        <v>14</v>
      </c>
      <c r="B12" s="212" t="s">
        <v>12</v>
      </c>
      <c r="C12" s="213" t="s">
        <v>321</v>
      </c>
      <c r="D12" s="214" t="s">
        <v>322</v>
      </c>
      <c r="E12" s="215">
        <v>1</v>
      </c>
      <c r="F12" s="216" t="s">
        <v>315</v>
      </c>
      <c r="G12" s="217"/>
      <c r="H12" s="218">
        <f t="shared" si="0"/>
        <v>0</v>
      </c>
    </row>
    <row r="13" spans="1:8" s="55" customFormat="1" ht="24.95" customHeight="1" x14ac:dyDescent="0.3">
      <c r="A13" s="211">
        <v>5</v>
      </c>
      <c r="B13" s="212" t="s">
        <v>12</v>
      </c>
      <c r="C13" s="213" t="s">
        <v>323</v>
      </c>
      <c r="D13" s="214" t="s">
        <v>334</v>
      </c>
      <c r="E13" s="215">
        <v>1</v>
      </c>
      <c r="F13" s="216" t="s">
        <v>315</v>
      </c>
      <c r="G13" s="217"/>
      <c r="H13" s="218">
        <f t="shared" si="0"/>
        <v>0</v>
      </c>
    </row>
    <row r="14" spans="1:8" s="55" customFormat="1" ht="24.95" customHeight="1" x14ac:dyDescent="0.3">
      <c r="A14" s="211">
        <v>6</v>
      </c>
      <c r="B14" s="212" t="s">
        <v>12</v>
      </c>
      <c r="C14" s="213" t="s">
        <v>324</v>
      </c>
      <c r="D14" s="214" t="s">
        <v>325</v>
      </c>
      <c r="E14" s="215">
        <v>1</v>
      </c>
      <c r="F14" s="216" t="s">
        <v>315</v>
      </c>
      <c r="G14" s="217"/>
      <c r="H14" s="218">
        <f t="shared" si="0"/>
        <v>0</v>
      </c>
    </row>
    <row r="15" spans="1:8" s="55" customFormat="1" ht="24.95" customHeight="1" x14ac:dyDescent="0.3">
      <c r="A15" s="211">
        <v>7</v>
      </c>
      <c r="B15" s="212" t="s">
        <v>12</v>
      </c>
      <c r="C15" s="213" t="s">
        <v>895</v>
      </c>
      <c r="D15" s="214" t="s">
        <v>894</v>
      </c>
      <c r="E15" s="215">
        <v>2</v>
      </c>
      <c r="F15" s="216" t="s">
        <v>315</v>
      </c>
      <c r="G15" s="217"/>
      <c r="H15" s="218">
        <f t="shared" si="0"/>
        <v>0</v>
      </c>
    </row>
    <row r="16" spans="1:8" s="55" customFormat="1" ht="24.95" customHeight="1" x14ac:dyDescent="0.3">
      <c r="A16" s="211">
        <v>8</v>
      </c>
      <c r="B16" s="212" t="s">
        <v>12</v>
      </c>
      <c r="C16" s="213" t="s">
        <v>338</v>
      </c>
      <c r="D16" s="214" t="s">
        <v>339</v>
      </c>
      <c r="E16" s="215">
        <v>1</v>
      </c>
      <c r="F16" s="216" t="s">
        <v>315</v>
      </c>
      <c r="G16" s="217"/>
      <c r="H16" s="218">
        <f t="shared" ref="H16" si="1">ROUND(G16*E16,2)</f>
        <v>0</v>
      </c>
    </row>
    <row r="17" spans="1:8" s="71" customFormat="1" ht="24.95" customHeight="1" x14ac:dyDescent="0.2">
      <c r="A17" s="66"/>
      <c r="B17" s="67"/>
      <c r="C17" s="67" t="s">
        <v>311</v>
      </c>
      <c r="D17" s="67" t="s">
        <v>326</v>
      </c>
      <c r="E17" s="209"/>
      <c r="F17" s="209"/>
      <c r="G17" s="69"/>
      <c r="H17" s="210">
        <f>SUM(H9:H16)</f>
        <v>0</v>
      </c>
    </row>
    <row r="18" spans="1:8" s="71" customFormat="1" ht="24.95" customHeight="1" thickBot="1" x14ac:dyDescent="0.25">
      <c r="A18" s="79"/>
      <c r="B18" s="77"/>
      <c r="C18" s="77"/>
      <c r="D18" s="77"/>
      <c r="E18" s="219"/>
      <c r="F18" s="219"/>
      <c r="G18" s="78"/>
      <c r="H18" s="220"/>
    </row>
    <row r="19" spans="1:8" s="71" customFormat="1" ht="24.95" customHeight="1" thickBot="1" x14ac:dyDescent="0.25">
      <c r="A19" s="83"/>
      <c r="B19" s="80"/>
      <c r="C19" s="80"/>
      <c r="D19" s="80" t="s">
        <v>327</v>
      </c>
      <c r="E19" s="221"/>
      <c r="F19" s="221"/>
      <c r="G19" s="81"/>
      <c r="H19" s="222">
        <f>H17</f>
        <v>0</v>
      </c>
    </row>
    <row r="20" spans="1:8" ht="24.95" customHeight="1" x14ac:dyDescent="0.2"/>
  </sheetData>
  <mergeCells count="1">
    <mergeCell ref="A5:H5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VÝMĚNA V+K</vt:lpstr>
      <vt:lpstr>VRN_Vedlejší rozpočtové náklady</vt:lpstr>
      <vt:lpstr>Rekapitulace!Oblast_tisku</vt:lpstr>
      <vt:lpstr>'VRN_Vedlejší rozpočtové náklady'!Oblast_tisku</vt:lpstr>
      <vt:lpstr>'VÝMĚNA V+K'!Oblast_tisku</vt:lpstr>
      <vt:lpstr>'VÝMĚNA V+K'!Print_Titles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Jícha</dc:creator>
  <cp:lastModifiedBy>Cermak Petr</cp:lastModifiedBy>
  <cp:lastPrinted>2019-05-20T07:29:48Z</cp:lastPrinted>
  <dcterms:created xsi:type="dcterms:W3CDTF">2018-05-28T11:08:02Z</dcterms:created>
  <dcterms:modified xsi:type="dcterms:W3CDTF">2019-06-07T12:47:00Z</dcterms:modified>
</cp:coreProperties>
</file>